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6.xml" ContentType="application/vnd.openxmlformats-officedocument.drawing+xml"/>
  <Override PartName="/xl/comments5.xml" ContentType="application/vnd.openxmlformats-officedocument.spreadsheetml.comments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K:\DIRREG\2022\REGULAÇÃO SANEAGO\REAJUSTE TARIFÁRIO\FATOR Q\Consulta e Audiência Pública\"/>
    </mc:Choice>
  </mc:AlternateContent>
  <xr:revisionPtr revIDLastSave="0" documentId="8_{F51D7702-451E-4E38-ACC4-73678D2040D7}" xr6:coauthVersionLast="47" xr6:coauthVersionMax="47" xr10:uidLastSave="{00000000-0000-0000-0000-000000000000}"/>
  <bookViews>
    <workbookView xWindow="-28920" yWindow="-75" windowWidth="29040" windowHeight="15840" tabRatio="812" xr2:uid="{00000000-000D-0000-FFFF-FFFF00000000}"/>
  </bookViews>
  <sheets>
    <sheet name="DADOS" sheetId="21" r:id="rId1"/>
    <sheet name="IN049" sheetId="7" r:id="rId2"/>
    <sheet name="IG02" sheetId="1" r:id="rId3"/>
    <sheet name="IN071" sheetId="22" r:id="rId4"/>
    <sheet name="IN073" sheetId="6" r:id="rId5"/>
    <sheet name="IN073 (ajustado)" sheetId="23" r:id="rId6"/>
    <sheet name="IN072" sheetId="24" r:id="rId7"/>
    <sheet name="IN074" sheetId="3" r:id="rId8"/>
    <sheet name="IN074 (ajustado)" sheetId="25" r:id="rId9"/>
    <sheet name="IN082" sheetId="4" r:id="rId10"/>
    <sheet name="IDS" sheetId="26" r:id="rId11"/>
    <sheet name=" IDS (ajustado)" sheetId="5" r:id="rId12"/>
    <sheet name="Menu IG02" sheetId="15" r:id="rId13"/>
    <sheet name="Menu IN073" sheetId="17" r:id="rId14"/>
    <sheet name="Menu IN074" sheetId="18" r:id="rId15"/>
    <sheet name="Menu IN082" sheetId="19" r:id="rId16"/>
    <sheet name="Menu IDS" sheetId="20" r:id="rId17"/>
  </sheets>
  <externalReferences>
    <externalReference r:id="rId1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16" i="26" l="1"/>
  <c r="O15" i="26"/>
  <c r="O14" i="26"/>
  <c r="O13" i="26"/>
  <c r="O12" i="26"/>
  <c r="O11" i="26"/>
  <c r="O10" i="26"/>
  <c r="K13" i="26" s="1"/>
  <c r="O17" i="26" l="1"/>
  <c r="K20" i="26"/>
  <c r="K16" i="26"/>
  <c r="O19" i="26"/>
  <c r="K19" i="26"/>
  <c r="K15" i="26"/>
  <c r="K12" i="26"/>
  <c r="K18" i="26"/>
  <c r="K14" i="26"/>
  <c r="O18" i="26"/>
  <c r="K21" i="26"/>
  <c r="K17" i="26"/>
  <c r="J10" i="25"/>
  <c r="J11" i="25"/>
  <c r="J12" i="25"/>
  <c r="J13" i="25"/>
  <c r="B1" i="1"/>
  <c r="A1" i="1"/>
  <c r="B6" i="1" s="1"/>
  <c r="B1" i="7"/>
  <c r="B6" i="20"/>
  <c r="A6" i="20"/>
  <c r="B6" i="19"/>
  <c r="A6" i="19"/>
  <c r="B6" i="18"/>
  <c r="A6" i="18"/>
  <c r="B6" i="17"/>
  <c r="A6" i="17"/>
  <c r="B6" i="15"/>
  <c r="A6" i="15"/>
  <c r="B6" i="26"/>
  <c r="A6" i="26"/>
  <c r="B1" i="26" s="1"/>
  <c r="L5" i="26"/>
  <c r="K5" i="26"/>
  <c r="B5" i="26"/>
  <c r="A5" i="26"/>
  <c r="L4" i="26"/>
  <c r="K4" i="26"/>
  <c r="J4" i="26"/>
  <c r="I4" i="26"/>
  <c r="H4" i="26"/>
  <c r="G4" i="26"/>
  <c r="F4" i="26"/>
  <c r="E4" i="26"/>
  <c r="D4" i="26"/>
  <c r="B4" i="26"/>
  <c r="A4" i="26"/>
  <c r="L3" i="26"/>
  <c r="K3" i="26"/>
  <c r="J3" i="26"/>
  <c r="I3" i="26"/>
  <c r="H3" i="26"/>
  <c r="G3" i="26"/>
  <c r="F3" i="26"/>
  <c r="E3" i="26"/>
  <c r="D3" i="26"/>
  <c r="C3" i="26"/>
  <c r="M13" i="26" l="1"/>
  <c r="M17" i="26"/>
  <c r="M21" i="26"/>
  <c r="M14" i="26"/>
  <c r="M18" i="26"/>
  <c r="M12" i="26"/>
  <c r="M15" i="26"/>
  <c r="M19" i="26"/>
  <c r="M16" i="26"/>
  <c r="M20" i="26"/>
  <c r="L15" i="26"/>
  <c r="L19" i="26"/>
  <c r="L12" i="26"/>
  <c r="L16" i="26"/>
  <c r="L20" i="26"/>
  <c r="L13" i="26"/>
  <c r="L17" i="26"/>
  <c r="L21" i="26"/>
  <c r="L14" i="26"/>
  <c r="L18" i="26"/>
  <c r="K6" i="26"/>
  <c r="L6" i="26"/>
  <c r="D4" i="24"/>
  <c r="E4" i="24"/>
  <c r="F4" i="24"/>
  <c r="G4" i="24"/>
  <c r="H4" i="24"/>
  <c r="I4" i="24"/>
  <c r="J4" i="24"/>
  <c r="K4" i="24"/>
  <c r="L4" i="24"/>
  <c r="C4" i="24"/>
  <c r="B5" i="24"/>
  <c r="B6" i="24"/>
  <c r="B4" i="24"/>
  <c r="A6" i="24"/>
  <c r="B1" i="24" s="1"/>
  <c r="A5" i="24"/>
  <c r="A4" i="24"/>
  <c r="B6" i="25"/>
  <c r="A6" i="25"/>
  <c r="B1" i="25" s="1"/>
  <c r="L5" i="25"/>
  <c r="K5" i="25"/>
  <c r="B5" i="25"/>
  <c r="A5" i="25"/>
  <c r="L4" i="25"/>
  <c r="K4" i="25"/>
  <c r="B4" i="25"/>
  <c r="A4" i="25"/>
  <c r="L3" i="25"/>
  <c r="K3" i="25"/>
  <c r="J3" i="25"/>
  <c r="I3" i="25"/>
  <c r="H3" i="25"/>
  <c r="G3" i="25"/>
  <c r="F3" i="25"/>
  <c r="E3" i="25"/>
  <c r="D3" i="25"/>
  <c r="C3" i="25"/>
  <c r="L3" i="24"/>
  <c r="K3" i="24"/>
  <c r="J3" i="24"/>
  <c r="I3" i="24"/>
  <c r="H3" i="24"/>
  <c r="G3" i="24"/>
  <c r="F3" i="24"/>
  <c r="E3" i="24"/>
  <c r="D3" i="24"/>
  <c r="C3" i="24"/>
  <c r="B6" i="23"/>
  <c r="A6" i="23"/>
  <c r="B1" i="23" s="1"/>
  <c r="L5" i="23"/>
  <c r="K5" i="23"/>
  <c r="B5" i="23"/>
  <c r="A5" i="23"/>
  <c r="L4" i="23"/>
  <c r="K4" i="23"/>
  <c r="B4" i="23"/>
  <c r="A4" i="23"/>
  <c r="L3" i="23"/>
  <c r="K3" i="23"/>
  <c r="J3" i="23"/>
  <c r="I3" i="23"/>
  <c r="H3" i="23"/>
  <c r="G3" i="23"/>
  <c r="F3" i="23"/>
  <c r="E3" i="23"/>
  <c r="D3" i="23"/>
  <c r="C3" i="23"/>
  <c r="A4" i="22"/>
  <c r="A5" i="22"/>
  <c r="D4" i="22"/>
  <c r="E4" i="22"/>
  <c r="F4" i="22"/>
  <c r="G4" i="22"/>
  <c r="H4" i="22"/>
  <c r="I4" i="22"/>
  <c r="J4" i="22"/>
  <c r="K4" i="22"/>
  <c r="L4" i="22"/>
  <c r="C4" i="22"/>
  <c r="D5" i="22"/>
  <c r="E5" i="22"/>
  <c r="F5" i="22"/>
  <c r="G5" i="22"/>
  <c r="H5" i="22"/>
  <c r="I5" i="22"/>
  <c r="J5" i="22"/>
  <c r="K5" i="22"/>
  <c r="L5" i="22"/>
  <c r="C5" i="22"/>
  <c r="B4" i="22"/>
  <c r="B6" i="22"/>
  <c r="B5" i="22"/>
  <c r="A1" i="22"/>
  <c r="B1" i="22"/>
  <c r="A6" i="22"/>
  <c r="L3" i="22"/>
  <c r="K3" i="22"/>
  <c r="J3" i="22"/>
  <c r="I3" i="22"/>
  <c r="H3" i="22"/>
  <c r="G3" i="22"/>
  <c r="F3" i="22"/>
  <c r="E3" i="22"/>
  <c r="D3" i="22"/>
  <c r="C3" i="22"/>
  <c r="L6" i="25" l="1"/>
  <c r="F6" i="22"/>
  <c r="L6" i="22"/>
  <c r="I6" i="22"/>
  <c r="L7" i="26"/>
  <c r="K6" i="25"/>
  <c r="K6" i="22"/>
  <c r="J6" i="22"/>
  <c r="D6" i="22"/>
  <c r="K6" i="23"/>
  <c r="L6" i="23"/>
  <c r="A1" i="24"/>
  <c r="C6" i="22"/>
  <c r="F18" i="22" s="1"/>
  <c r="H6" i="22"/>
  <c r="G6" i="22"/>
  <c r="E6" i="22"/>
  <c r="L7" i="25" l="1"/>
  <c r="L7" i="23"/>
  <c r="I7" i="22"/>
  <c r="J7" i="22"/>
  <c r="L7" i="22"/>
  <c r="F17" i="22"/>
  <c r="F19" i="22" s="1"/>
  <c r="D7" i="22"/>
  <c r="E7" i="22"/>
  <c r="H7" i="22"/>
  <c r="F7" i="22"/>
  <c r="K7" i="22"/>
  <c r="G7" i="22"/>
  <c r="G11" i="22" s="1"/>
  <c r="G13" i="22" s="1"/>
  <c r="K5" i="5"/>
  <c r="L5" i="5"/>
  <c r="D4" i="5"/>
  <c r="E4" i="5"/>
  <c r="F4" i="5"/>
  <c r="G4" i="5"/>
  <c r="H4" i="5"/>
  <c r="I4" i="5"/>
  <c r="J4" i="5"/>
  <c r="K4" i="5"/>
  <c r="L4" i="5"/>
  <c r="B5" i="5"/>
  <c r="B6" i="5"/>
  <c r="B4" i="5"/>
  <c r="A5" i="5"/>
  <c r="A6" i="5"/>
  <c r="B1" i="5" s="1"/>
  <c r="A4" i="5"/>
  <c r="C5" i="4"/>
  <c r="D5" i="4"/>
  <c r="E5" i="4"/>
  <c r="F5" i="4"/>
  <c r="G5" i="4"/>
  <c r="H5" i="4"/>
  <c r="I5" i="4"/>
  <c r="J5" i="4"/>
  <c r="K5" i="4"/>
  <c r="L5" i="4"/>
  <c r="D4" i="4"/>
  <c r="E4" i="4"/>
  <c r="F4" i="4"/>
  <c r="G4" i="4"/>
  <c r="H4" i="4"/>
  <c r="I4" i="4"/>
  <c r="J4" i="4"/>
  <c r="K4" i="4"/>
  <c r="L4" i="4"/>
  <c r="C4" i="4"/>
  <c r="B5" i="4"/>
  <c r="B6" i="4"/>
  <c r="B4" i="4"/>
  <c r="A5" i="4"/>
  <c r="A6" i="4"/>
  <c r="B1" i="4" s="1"/>
  <c r="A4" i="4"/>
  <c r="J6" i="4" l="1"/>
  <c r="F20" i="22"/>
  <c r="C6" i="4"/>
  <c r="K6" i="5"/>
  <c r="I6" i="4"/>
  <c r="J7" i="4" s="1"/>
  <c r="L6" i="5"/>
  <c r="A8" i="20" s="1"/>
  <c r="G10" i="22"/>
  <c r="G6" i="4"/>
  <c r="D6" i="4"/>
  <c r="D7" i="4" s="1"/>
  <c r="F6" i="4"/>
  <c r="L6" i="4"/>
  <c r="A8" i="19" s="1"/>
  <c r="H6" i="4"/>
  <c r="I7" i="4" s="1"/>
  <c r="K6" i="4"/>
  <c r="E6" i="4"/>
  <c r="H13" i="22"/>
  <c r="C5" i="1"/>
  <c r="D5" i="1"/>
  <c r="E5" i="1"/>
  <c r="F5" i="1"/>
  <c r="G5" i="1"/>
  <c r="H5" i="1"/>
  <c r="I5" i="1"/>
  <c r="J5" i="1"/>
  <c r="K5" i="1"/>
  <c r="L5" i="1"/>
  <c r="D4" i="1"/>
  <c r="E4" i="1"/>
  <c r="F4" i="1"/>
  <c r="G4" i="1"/>
  <c r="H4" i="1"/>
  <c r="I4" i="1"/>
  <c r="J4" i="1"/>
  <c r="K4" i="1"/>
  <c r="L4" i="1"/>
  <c r="C4" i="1"/>
  <c r="D4" i="3"/>
  <c r="D4" i="25" s="1"/>
  <c r="E4" i="3"/>
  <c r="E4" i="25" s="1"/>
  <c r="F4" i="3"/>
  <c r="F4" i="25" s="1"/>
  <c r="G4" i="3"/>
  <c r="G4" i="25" s="1"/>
  <c r="H4" i="3"/>
  <c r="I4" i="3"/>
  <c r="I4" i="25" s="1"/>
  <c r="J4" i="3"/>
  <c r="J4" i="25" s="1"/>
  <c r="K4" i="3"/>
  <c r="L4" i="3"/>
  <c r="E5" i="3"/>
  <c r="F5" i="3"/>
  <c r="G5" i="3"/>
  <c r="H5" i="3"/>
  <c r="I5" i="3"/>
  <c r="J5" i="3"/>
  <c r="K5" i="3"/>
  <c r="L5" i="3"/>
  <c r="L6" i="3" s="1"/>
  <c r="C5" i="3"/>
  <c r="C4" i="3"/>
  <c r="C4" i="25" s="1"/>
  <c r="B5" i="3"/>
  <c r="B6" i="3"/>
  <c r="B4" i="3"/>
  <c r="A5" i="3"/>
  <c r="A6" i="3"/>
  <c r="B1" i="3" s="1"/>
  <c r="A4" i="3"/>
  <c r="G7" i="4" l="1"/>
  <c r="H7" i="4"/>
  <c r="K6" i="3"/>
  <c r="L7" i="3" s="1"/>
  <c r="L7" i="5"/>
  <c r="F6" i="3"/>
  <c r="G6" i="3"/>
  <c r="G7" i="3" s="1"/>
  <c r="I6" i="3"/>
  <c r="L7" i="4"/>
  <c r="K7" i="4"/>
  <c r="J6" i="3"/>
  <c r="E6" i="3"/>
  <c r="C8" i="4"/>
  <c r="D8" i="4" s="1"/>
  <c r="E8" i="4" s="1"/>
  <c r="F8" i="4" s="1"/>
  <c r="G8" i="4" s="1"/>
  <c r="H8" i="4" s="1"/>
  <c r="I8" i="4" s="1"/>
  <c r="J8" i="4" s="1"/>
  <c r="K8" i="4" s="1"/>
  <c r="L8" i="4" s="1"/>
  <c r="C9" i="4"/>
  <c r="D9" i="4" s="1"/>
  <c r="E9" i="4" s="1"/>
  <c r="F9" i="4" s="1"/>
  <c r="G9" i="4" s="1"/>
  <c r="H9" i="4" s="1"/>
  <c r="I9" i="4" s="1"/>
  <c r="K9" i="4" s="1"/>
  <c r="L9" i="4" s="1"/>
  <c r="E7" i="4"/>
  <c r="F7" i="4"/>
  <c r="A8" i="18"/>
  <c r="C6" i="3"/>
  <c r="H6" i="3"/>
  <c r="H4" i="25"/>
  <c r="K7" i="3" l="1"/>
  <c r="F7" i="3"/>
  <c r="H7" i="3"/>
  <c r="J7" i="3"/>
  <c r="I7" i="3"/>
  <c r="C5" i="6" l="1"/>
  <c r="D5" i="6"/>
  <c r="D5" i="23" s="1"/>
  <c r="E5" i="6"/>
  <c r="E5" i="23" s="1"/>
  <c r="F5" i="6"/>
  <c r="F5" i="23" s="1"/>
  <c r="G5" i="6"/>
  <c r="G5" i="23" s="1"/>
  <c r="H5" i="6"/>
  <c r="H5" i="23" s="1"/>
  <c r="I5" i="6"/>
  <c r="I5" i="23" s="1"/>
  <c r="J5" i="6"/>
  <c r="J5" i="23" s="1"/>
  <c r="K5" i="6"/>
  <c r="L5" i="6"/>
  <c r="D4" i="6"/>
  <c r="D4" i="23" s="1"/>
  <c r="E4" i="6"/>
  <c r="F4" i="6"/>
  <c r="G4" i="6"/>
  <c r="G4" i="23" s="1"/>
  <c r="H4" i="6"/>
  <c r="H4" i="23" s="1"/>
  <c r="I4" i="6"/>
  <c r="I4" i="23" s="1"/>
  <c r="J4" i="6"/>
  <c r="J4" i="23" s="1"/>
  <c r="K4" i="6"/>
  <c r="L4" i="6"/>
  <c r="C4" i="6"/>
  <c r="C4" i="23" s="1"/>
  <c r="B5" i="6"/>
  <c r="B6" i="6"/>
  <c r="B4" i="6"/>
  <c r="A6" i="6"/>
  <c r="B1" i="6" s="1"/>
  <c r="A5" i="6"/>
  <c r="A4" i="6"/>
  <c r="H6" i="23" l="1"/>
  <c r="G6" i="23"/>
  <c r="J6" i="23"/>
  <c r="K7" i="23" s="1"/>
  <c r="I6" i="23"/>
  <c r="D6" i="23"/>
  <c r="E6" i="6"/>
  <c r="E4" i="23"/>
  <c r="E6" i="23"/>
  <c r="F6" i="6"/>
  <c r="F4" i="23"/>
  <c r="F6" i="23" s="1"/>
  <c r="C5" i="23"/>
  <c r="L6" i="6"/>
  <c r="G6" i="6"/>
  <c r="K6" i="6"/>
  <c r="J6" i="6"/>
  <c r="C6" i="6"/>
  <c r="I6" i="6"/>
  <c r="H6" i="6"/>
  <c r="D6" i="1"/>
  <c r="E6" i="1"/>
  <c r="J6" i="1"/>
  <c r="G6" i="1"/>
  <c r="C6" i="1"/>
  <c r="B5" i="1"/>
  <c r="B4" i="1"/>
  <c r="A6" i="1"/>
  <c r="A5" i="1"/>
  <c r="A4" i="1"/>
  <c r="I6" i="1"/>
  <c r="H6" i="1"/>
  <c r="F17" i="4"/>
  <c r="G11" i="4"/>
  <c r="G13" i="4" s="1"/>
  <c r="G10" i="4"/>
  <c r="F17" i="3"/>
  <c r="G11" i="3"/>
  <c r="G13" i="3" s="1"/>
  <c r="H13" i="3" s="1"/>
  <c r="G10" i="3"/>
  <c r="L3" i="5"/>
  <c r="K3" i="5"/>
  <c r="J3" i="5"/>
  <c r="I3" i="5"/>
  <c r="H3" i="5"/>
  <c r="G3" i="5"/>
  <c r="F3" i="5"/>
  <c r="E3" i="5"/>
  <c r="D3" i="5"/>
  <c r="C3" i="5"/>
  <c r="L3" i="4"/>
  <c r="K3" i="4"/>
  <c r="J3" i="4"/>
  <c r="I3" i="4"/>
  <c r="H3" i="4"/>
  <c r="G3" i="4"/>
  <c r="F3" i="4"/>
  <c r="E3" i="4"/>
  <c r="D3" i="4"/>
  <c r="C3" i="4"/>
  <c r="L3" i="3"/>
  <c r="K3" i="3"/>
  <c r="J3" i="3"/>
  <c r="I3" i="3"/>
  <c r="H3" i="3"/>
  <c r="G3" i="3"/>
  <c r="F3" i="3"/>
  <c r="E3" i="3"/>
  <c r="D3" i="3"/>
  <c r="C3" i="3"/>
  <c r="L3" i="6"/>
  <c r="K3" i="6"/>
  <c r="J3" i="6"/>
  <c r="I3" i="6"/>
  <c r="H3" i="6"/>
  <c r="G3" i="6"/>
  <c r="F3" i="6"/>
  <c r="E3" i="6"/>
  <c r="D3" i="6"/>
  <c r="C3" i="6"/>
  <c r="L3" i="1"/>
  <c r="K3" i="1"/>
  <c r="J3" i="1"/>
  <c r="I3" i="1"/>
  <c r="H3" i="1"/>
  <c r="G3" i="1"/>
  <c r="F3" i="1"/>
  <c r="E3" i="1"/>
  <c r="D3" i="1"/>
  <c r="C3" i="1"/>
  <c r="L3" i="7"/>
  <c r="K3" i="7"/>
  <c r="J3" i="7"/>
  <c r="I3" i="7"/>
  <c r="H3" i="7"/>
  <c r="G3" i="7"/>
  <c r="F3" i="7"/>
  <c r="E3" i="7"/>
  <c r="D3" i="7"/>
  <c r="C3" i="7"/>
  <c r="L7" i="7"/>
  <c r="K7" i="7"/>
  <c r="J7" i="7"/>
  <c r="I7" i="7"/>
  <c r="I8" i="7" s="1"/>
  <c r="H7" i="7"/>
  <c r="G7" i="7"/>
  <c r="F7" i="7"/>
  <c r="E7" i="7"/>
  <c r="D7" i="7"/>
  <c r="C7" i="7"/>
  <c r="F18" i="7" s="1"/>
  <c r="F18" i="4"/>
  <c r="F18" i="3"/>
  <c r="J8" i="7" l="1"/>
  <c r="F7" i="6"/>
  <c r="E8" i="7"/>
  <c r="L8" i="7"/>
  <c r="H7" i="23"/>
  <c r="I7" i="23"/>
  <c r="J7" i="1"/>
  <c r="E7" i="1"/>
  <c r="F7" i="23"/>
  <c r="G7" i="23"/>
  <c r="C6" i="23"/>
  <c r="C8" i="23" s="1"/>
  <c r="D8" i="23" s="1"/>
  <c r="E8" i="23" s="1"/>
  <c r="F8" i="23" s="1"/>
  <c r="G8" i="23" s="1"/>
  <c r="H8" i="23" s="1"/>
  <c r="I8" i="23" s="1"/>
  <c r="J8" i="23" s="1"/>
  <c r="K8" i="23" s="1"/>
  <c r="L8" i="23" s="1"/>
  <c r="G7" i="6"/>
  <c r="J7" i="23"/>
  <c r="E7" i="23"/>
  <c r="A10" i="19"/>
  <c r="H13" i="4"/>
  <c r="A8" i="17"/>
  <c r="H7" i="6"/>
  <c r="F19" i="4"/>
  <c r="D7" i="1"/>
  <c r="H7" i="1"/>
  <c r="I7" i="1"/>
  <c r="F8" i="7"/>
  <c r="H8" i="7"/>
  <c r="K8" i="7"/>
  <c r="F19" i="7"/>
  <c r="F20" i="7" s="1"/>
  <c r="G8" i="7"/>
  <c r="D8" i="7"/>
  <c r="F17" i="6"/>
  <c r="I7" i="6"/>
  <c r="J7" i="6"/>
  <c r="K7" i="6"/>
  <c r="L7" i="6"/>
  <c r="F20" i="3"/>
  <c r="L6" i="1"/>
  <c r="K6" i="1"/>
  <c r="K7" i="1" s="1"/>
  <c r="F6" i="1"/>
  <c r="F7" i="1" s="1"/>
  <c r="F20" i="4"/>
  <c r="F19" i="3"/>
  <c r="O27" i="21"/>
  <c r="N27" i="21"/>
  <c r="M26" i="21"/>
  <c r="M27" i="21" s="1"/>
  <c r="L26" i="21"/>
  <c r="L27" i="21" s="1"/>
  <c r="K26" i="21"/>
  <c r="J26" i="21"/>
  <c r="I26" i="21"/>
  <c r="H26" i="21"/>
  <c r="G26" i="21"/>
  <c r="F26" i="21"/>
  <c r="F25" i="21"/>
  <c r="O24" i="21"/>
  <c r="N24" i="21"/>
  <c r="M24" i="21"/>
  <c r="L24" i="21"/>
  <c r="K24" i="21"/>
  <c r="J24" i="21"/>
  <c r="I24" i="21"/>
  <c r="H24" i="21"/>
  <c r="G24" i="21"/>
  <c r="F24" i="21"/>
  <c r="O20" i="21"/>
  <c r="L5" i="24" s="1"/>
  <c r="L6" i="24" s="1"/>
  <c r="N20" i="21"/>
  <c r="M20" i="21"/>
  <c r="L20" i="21"/>
  <c r="K20" i="21"/>
  <c r="H5" i="24" s="1"/>
  <c r="J20" i="21"/>
  <c r="G5" i="24" s="1"/>
  <c r="I20" i="21"/>
  <c r="F5" i="24" s="1"/>
  <c r="H20" i="21"/>
  <c r="E5" i="24" s="1"/>
  <c r="G20" i="21"/>
  <c r="F20" i="21"/>
  <c r="O18" i="21"/>
  <c r="N18" i="21"/>
  <c r="M18" i="21"/>
  <c r="L18" i="21"/>
  <c r="K18" i="21"/>
  <c r="J18" i="21"/>
  <c r="I18" i="21"/>
  <c r="H18" i="21"/>
  <c r="G18" i="21"/>
  <c r="F18" i="21"/>
  <c r="O15" i="21"/>
  <c r="N15" i="21"/>
  <c r="M15" i="21"/>
  <c r="L15" i="21"/>
  <c r="K15" i="21"/>
  <c r="J15" i="21"/>
  <c r="I15" i="21"/>
  <c r="H15" i="21"/>
  <c r="G15" i="21"/>
  <c r="F15" i="21"/>
  <c r="O12" i="21"/>
  <c r="N12" i="21"/>
  <c r="M12" i="21"/>
  <c r="L12" i="21"/>
  <c r="K12" i="21"/>
  <c r="J12" i="21"/>
  <c r="I12" i="21"/>
  <c r="H12" i="21"/>
  <c r="F12" i="21"/>
  <c r="O9" i="21"/>
  <c r="N9" i="21"/>
  <c r="M9" i="21"/>
  <c r="L9" i="21"/>
  <c r="K9" i="21"/>
  <c r="J9" i="21"/>
  <c r="I9" i="21"/>
  <c r="H9" i="21"/>
  <c r="F9" i="21"/>
  <c r="O6" i="21"/>
  <c r="N6" i="21"/>
  <c r="M6" i="21"/>
  <c r="L6" i="21"/>
  <c r="K6" i="21"/>
  <c r="J6" i="21"/>
  <c r="I6" i="21"/>
  <c r="H6" i="21"/>
  <c r="G6" i="21"/>
  <c r="F6" i="21"/>
  <c r="F18" i="6"/>
  <c r="J10" i="23" l="1"/>
  <c r="J11" i="23"/>
  <c r="C9" i="23"/>
  <c r="D9" i="23" s="1"/>
  <c r="E9" i="23" s="1"/>
  <c r="F9" i="23" s="1"/>
  <c r="G9" i="23" s="1"/>
  <c r="H9" i="23" s="1"/>
  <c r="I9" i="23" s="1"/>
  <c r="J9" i="23" s="1"/>
  <c r="K9" i="23" s="1"/>
  <c r="L9" i="23" s="1"/>
  <c r="D7" i="23"/>
  <c r="G10" i="23" s="1"/>
  <c r="F17" i="23"/>
  <c r="F19" i="6"/>
  <c r="J21" i="21"/>
  <c r="H21" i="21"/>
  <c r="K21" i="21"/>
  <c r="O21" i="21"/>
  <c r="C8" i="1"/>
  <c r="D8" i="1" s="1"/>
  <c r="E8" i="1" s="1"/>
  <c r="F8" i="1" s="1"/>
  <c r="G8" i="1" s="1"/>
  <c r="H8" i="1" s="1"/>
  <c r="I8" i="1" s="1"/>
  <c r="J8" i="1" s="1"/>
  <c r="K8" i="1" s="1"/>
  <c r="L8" i="1" s="1"/>
  <c r="I21" i="21"/>
  <c r="C4" i="26"/>
  <c r="C4" i="5"/>
  <c r="G21" i="21"/>
  <c r="D5" i="24"/>
  <c r="G27" i="21"/>
  <c r="D5" i="26"/>
  <c r="D6" i="26" s="1"/>
  <c r="D5" i="5"/>
  <c r="D6" i="5" s="1"/>
  <c r="E6" i="24"/>
  <c r="E5" i="25"/>
  <c r="E6" i="25" s="1"/>
  <c r="H27" i="21"/>
  <c r="E5" i="26"/>
  <c r="E6" i="26" s="1"/>
  <c r="E5" i="5"/>
  <c r="E6" i="5" s="1"/>
  <c r="F21" i="21"/>
  <c r="C5" i="24"/>
  <c r="C5" i="26"/>
  <c r="C5" i="5"/>
  <c r="F6" i="24"/>
  <c r="F5" i="25"/>
  <c r="F6" i="25" s="1"/>
  <c r="I27" i="21"/>
  <c r="F5" i="26"/>
  <c r="F6" i="26" s="1"/>
  <c r="F5" i="5"/>
  <c r="F6" i="5" s="1"/>
  <c r="J27" i="21"/>
  <c r="G5" i="26"/>
  <c r="G6" i="26" s="1"/>
  <c r="G5" i="5"/>
  <c r="G6" i="5" s="1"/>
  <c r="G6" i="24"/>
  <c r="G5" i="25"/>
  <c r="G6" i="25" s="1"/>
  <c r="H6" i="24"/>
  <c r="H5" i="25"/>
  <c r="H5" i="26"/>
  <c r="H6" i="26" s="1"/>
  <c r="H5" i="5"/>
  <c r="H6" i="5" s="1"/>
  <c r="C9" i="1"/>
  <c r="D9" i="1" s="1"/>
  <c r="E9" i="1" s="1"/>
  <c r="F9" i="1" s="1"/>
  <c r="G9" i="1" s="1"/>
  <c r="H9" i="1" s="1"/>
  <c r="I9" i="1" s="1"/>
  <c r="J9" i="1" s="1"/>
  <c r="K9" i="1" s="1"/>
  <c r="L9" i="1" s="1"/>
  <c r="L21" i="21"/>
  <c r="I5" i="24"/>
  <c r="I5" i="26"/>
  <c r="I6" i="26" s="1"/>
  <c r="I5" i="5"/>
  <c r="I6" i="5" s="1"/>
  <c r="M21" i="21"/>
  <c r="J5" i="24"/>
  <c r="J5" i="26"/>
  <c r="J6" i="26" s="1"/>
  <c r="J5" i="5"/>
  <c r="J6" i="5" s="1"/>
  <c r="N21" i="21"/>
  <c r="K5" i="24"/>
  <c r="K6" i="24" s="1"/>
  <c r="F27" i="21"/>
  <c r="K27" i="21"/>
  <c r="A8" i="15"/>
  <c r="F20" i="6"/>
  <c r="L7" i="1"/>
  <c r="G7" i="1"/>
  <c r="G11" i="7"/>
  <c r="G14" i="7" s="1"/>
  <c r="G12" i="7"/>
  <c r="F21" i="7"/>
  <c r="G10" i="6"/>
  <c r="G11" i="6"/>
  <c r="G13" i="6" s="1"/>
  <c r="H13" i="6" s="1"/>
  <c r="F17" i="1"/>
  <c r="K17" i="20"/>
  <c r="L18" i="20" s="1"/>
  <c r="J17" i="20"/>
  <c r="J18" i="20" s="1"/>
  <c r="J19" i="20" s="1"/>
  <c r="J20" i="20" s="1"/>
  <c r="J21" i="20" s="1"/>
  <c r="J22" i="20" s="1"/>
  <c r="J23" i="20" s="1"/>
  <c r="J24" i="20" s="1"/>
  <c r="J25" i="20" s="1"/>
  <c r="J26" i="20" s="1"/>
  <c r="J27" i="20" s="1"/>
  <c r="J28" i="20" s="1"/>
  <c r="J29" i="20" s="1"/>
  <c r="J15" i="20"/>
  <c r="J14" i="20" s="1"/>
  <c r="J13" i="20" s="1"/>
  <c r="J12" i="20" s="1"/>
  <c r="J11" i="20" s="1"/>
  <c r="J10" i="20" s="1"/>
  <c r="J9" i="20" s="1"/>
  <c r="J8" i="20" s="1"/>
  <c r="J7" i="20" s="1"/>
  <c r="J6" i="20" s="1"/>
  <c r="J5" i="20" s="1"/>
  <c r="J4" i="20" s="1"/>
  <c r="I15" i="20"/>
  <c r="I16" i="20" s="1"/>
  <c r="I17" i="20" s="1"/>
  <c r="I18" i="20" s="1"/>
  <c r="I19" i="20" s="1"/>
  <c r="I20" i="20" s="1"/>
  <c r="I21" i="20" s="1"/>
  <c r="I22" i="20" s="1"/>
  <c r="I23" i="20" s="1"/>
  <c r="I24" i="20" s="1"/>
  <c r="I25" i="20" s="1"/>
  <c r="I26" i="20" s="1"/>
  <c r="I27" i="20" s="1"/>
  <c r="I28" i="20" s="1"/>
  <c r="I29" i="20" s="1"/>
  <c r="I14" i="20"/>
  <c r="I13" i="20" s="1"/>
  <c r="I12" i="20" s="1"/>
  <c r="I11" i="20" s="1"/>
  <c r="I10" i="20" s="1"/>
  <c r="I9" i="20" s="1"/>
  <c r="I8" i="20" s="1"/>
  <c r="I7" i="20" s="1"/>
  <c r="I6" i="20" s="1"/>
  <c r="I5" i="20" s="1"/>
  <c r="I4" i="20" s="1"/>
  <c r="H14" i="20"/>
  <c r="H15" i="20" s="1"/>
  <c r="H16" i="20" s="1"/>
  <c r="H17" i="20" s="1"/>
  <c r="H18" i="20" s="1"/>
  <c r="H19" i="20" s="1"/>
  <c r="H20" i="20" s="1"/>
  <c r="H21" i="20" s="1"/>
  <c r="H22" i="20" s="1"/>
  <c r="H23" i="20" s="1"/>
  <c r="H24" i="20" s="1"/>
  <c r="H25" i="20" s="1"/>
  <c r="H26" i="20" s="1"/>
  <c r="H27" i="20" s="1"/>
  <c r="H28" i="20" s="1"/>
  <c r="H29" i="20" s="1"/>
  <c r="H13" i="20"/>
  <c r="H12" i="20" s="1"/>
  <c r="H11" i="20" s="1"/>
  <c r="H10" i="20" s="1"/>
  <c r="H9" i="20" s="1"/>
  <c r="H8" i="20" s="1"/>
  <c r="H7" i="20" s="1"/>
  <c r="H6" i="20" s="1"/>
  <c r="H5" i="20" s="1"/>
  <c r="H4" i="20" s="1"/>
  <c r="K17" i="19"/>
  <c r="K16" i="19" s="1"/>
  <c r="K15" i="19" s="1"/>
  <c r="K14" i="19" s="1"/>
  <c r="K13" i="19" s="1"/>
  <c r="K12" i="19" s="1"/>
  <c r="K11" i="19" s="1"/>
  <c r="K10" i="19" s="1"/>
  <c r="K9" i="19" s="1"/>
  <c r="K8" i="19" s="1"/>
  <c r="K7" i="19" s="1"/>
  <c r="K6" i="19" s="1"/>
  <c r="K5" i="19" s="1"/>
  <c r="K4" i="19" s="1"/>
  <c r="J17" i="19"/>
  <c r="J18" i="19" s="1"/>
  <c r="J19" i="19" s="1"/>
  <c r="J20" i="19" s="1"/>
  <c r="J21" i="19" s="1"/>
  <c r="J22" i="19" s="1"/>
  <c r="J23" i="19" s="1"/>
  <c r="J24" i="19" s="1"/>
  <c r="J25" i="19" s="1"/>
  <c r="J26" i="19" s="1"/>
  <c r="J27" i="19" s="1"/>
  <c r="J28" i="19" s="1"/>
  <c r="J29" i="19" s="1"/>
  <c r="I16" i="19"/>
  <c r="I17" i="19" s="1"/>
  <c r="I18" i="19" s="1"/>
  <c r="I19" i="19" s="1"/>
  <c r="I20" i="19" s="1"/>
  <c r="I21" i="19" s="1"/>
  <c r="I22" i="19" s="1"/>
  <c r="I23" i="19" s="1"/>
  <c r="I24" i="19" s="1"/>
  <c r="I25" i="19" s="1"/>
  <c r="I26" i="19" s="1"/>
  <c r="I27" i="19" s="1"/>
  <c r="I28" i="19" s="1"/>
  <c r="I29" i="19" s="1"/>
  <c r="J15" i="19"/>
  <c r="J14" i="19" s="1"/>
  <c r="J13" i="19" s="1"/>
  <c r="J12" i="19" s="1"/>
  <c r="J11" i="19" s="1"/>
  <c r="J10" i="19" s="1"/>
  <c r="J9" i="19" s="1"/>
  <c r="J8" i="19" s="1"/>
  <c r="J7" i="19" s="1"/>
  <c r="J6" i="19" s="1"/>
  <c r="J5" i="19" s="1"/>
  <c r="J4" i="19" s="1"/>
  <c r="I15" i="19"/>
  <c r="I14" i="19" s="1"/>
  <c r="I13" i="19" s="1"/>
  <c r="I12" i="19" s="1"/>
  <c r="I11" i="19" s="1"/>
  <c r="I10" i="19" s="1"/>
  <c r="I9" i="19" s="1"/>
  <c r="I8" i="19" s="1"/>
  <c r="I7" i="19" s="1"/>
  <c r="I6" i="19" s="1"/>
  <c r="I5" i="19" s="1"/>
  <c r="I4" i="19" s="1"/>
  <c r="H15" i="19"/>
  <c r="H16" i="19" s="1"/>
  <c r="H17" i="19" s="1"/>
  <c r="H18" i="19" s="1"/>
  <c r="H19" i="19" s="1"/>
  <c r="H20" i="19" s="1"/>
  <c r="H21" i="19" s="1"/>
  <c r="H22" i="19" s="1"/>
  <c r="H23" i="19" s="1"/>
  <c r="H24" i="19" s="1"/>
  <c r="H25" i="19" s="1"/>
  <c r="H26" i="19" s="1"/>
  <c r="H27" i="19" s="1"/>
  <c r="H28" i="19" s="1"/>
  <c r="H29" i="19" s="1"/>
  <c r="H14" i="19"/>
  <c r="G13" i="19" s="1"/>
  <c r="H13" i="19"/>
  <c r="H12" i="19" s="1"/>
  <c r="H11" i="19" s="1"/>
  <c r="H10" i="19" s="1"/>
  <c r="H9" i="19" s="1"/>
  <c r="H8" i="19" s="1"/>
  <c r="H7" i="19" s="1"/>
  <c r="H6" i="19" s="1"/>
  <c r="H5" i="19" s="1"/>
  <c r="H4" i="19" s="1"/>
  <c r="K17" i="18"/>
  <c r="L18" i="18" s="1"/>
  <c r="J17" i="18"/>
  <c r="J18" i="18" s="1"/>
  <c r="J19" i="18" s="1"/>
  <c r="J20" i="18" s="1"/>
  <c r="J21" i="18" s="1"/>
  <c r="J22" i="18" s="1"/>
  <c r="J23" i="18" s="1"/>
  <c r="J24" i="18" s="1"/>
  <c r="J25" i="18" s="1"/>
  <c r="J26" i="18" s="1"/>
  <c r="J27" i="18" s="1"/>
  <c r="J28" i="18" s="1"/>
  <c r="J29" i="18" s="1"/>
  <c r="I17" i="18"/>
  <c r="I18" i="18" s="1"/>
  <c r="I19" i="18" s="1"/>
  <c r="I20" i="18" s="1"/>
  <c r="I21" i="18" s="1"/>
  <c r="I22" i="18" s="1"/>
  <c r="I23" i="18" s="1"/>
  <c r="I24" i="18" s="1"/>
  <c r="I25" i="18" s="1"/>
  <c r="I26" i="18" s="1"/>
  <c r="I27" i="18" s="1"/>
  <c r="I28" i="18" s="1"/>
  <c r="I29" i="18" s="1"/>
  <c r="J15" i="18"/>
  <c r="I15" i="18"/>
  <c r="I16" i="18" s="1"/>
  <c r="J14" i="18"/>
  <c r="J13" i="18" s="1"/>
  <c r="J12" i="18" s="1"/>
  <c r="J11" i="18" s="1"/>
  <c r="J10" i="18" s="1"/>
  <c r="J9" i="18" s="1"/>
  <c r="J8" i="18" s="1"/>
  <c r="J7" i="18" s="1"/>
  <c r="J6" i="18" s="1"/>
  <c r="J5" i="18" s="1"/>
  <c r="J4" i="18" s="1"/>
  <c r="I14" i="18"/>
  <c r="I13" i="18" s="1"/>
  <c r="I12" i="18" s="1"/>
  <c r="I11" i="18" s="1"/>
  <c r="I10" i="18" s="1"/>
  <c r="I9" i="18" s="1"/>
  <c r="I8" i="18" s="1"/>
  <c r="I7" i="18" s="1"/>
  <c r="I6" i="18" s="1"/>
  <c r="I5" i="18" s="1"/>
  <c r="I4" i="18" s="1"/>
  <c r="H14" i="18"/>
  <c r="H15" i="18" s="1"/>
  <c r="H16" i="18" s="1"/>
  <c r="H17" i="18" s="1"/>
  <c r="H18" i="18" s="1"/>
  <c r="H19" i="18" s="1"/>
  <c r="H20" i="18" s="1"/>
  <c r="H21" i="18" s="1"/>
  <c r="H22" i="18" s="1"/>
  <c r="H23" i="18" s="1"/>
  <c r="H24" i="18" s="1"/>
  <c r="H25" i="18" s="1"/>
  <c r="H26" i="18" s="1"/>
  <c r="H27" i="18" s="1"/>
  <c r="H28" i="18" s="1"/>
  <c r="H29" i="18" s="1"/>
  <c r="L18" i="17"/>
  <c r="K17" i="17"/>
  <c r="J17" i="17"/>
  <c r="J18" i="17" s="1"/>
  <c r="J19" i="17" s="1"/>
  <c r="J20" i="17" s="1"/>
  <c r="J21" i="17" s="1"/>
  <c r="J22" i="17" s="1"/>
  <c r="J23" i="17" s="1"/>
  <c r="J24" i="17" s="1"/>
  <c r="J25" i="17" s="1"/>
  <c r="J26" i="17" s="1"/>
  <c r="J27" i="17" s="1"/>
  <c r="J28" i="17" s="1"/>
  <c r="J29" i="17" s="1"/>
  <c r="J15" i="17"/>
  <c r="J14" i="17" s="1"/>
  <c r="J13" i="17" s="1"/>
  <c r="J12" i="17" s="1"/>
  <c r="J11" i="17" s="1"/>
  <c r="J10" i="17" s="1"/>
  <c r="J9" i="17" s="1"/>
  <c r="J8" i="17" s="1"/>
  <c r="J7" i="17" s="1"/>
  <c r="J6" i="17" s="1"/>
  <c r="J5" i="17" s="1"/>
  <c r="J4" i="17" s="1"/>
  <c r="I15" i="17"/>
  <c r="I16" i="17" s="1"/>
  <c r="I17" i="17" s="1"/>
  <c r="I18" i="17" s="1"/>
  <c r="I19" i="17" s="1"/>
  <c r="I20" i="17" s="1"/>
  <c r="I21" i="17" s="1"/>
  <c r="I22" i="17" s="1"/>
  <c r="I23" i="17" s="1"/>
  <c r="I24" i="17" s="1"/>
  <c r="I25" i="17" s="1"/>
  <c r="I26" i="17" s="1"/>
  <c r="I27" i="17" s="1"/>
  <c r="I28" i="17" s="1"/>
  <c r="I29" i="17" s="1"/>
  <c r="I14" i="17"/>
  <c r="I13" i="17" s="1"/>
  <c r="I12" i="17" s="1"/>
  <c r="I11" i="17" s="1"/>
  <c r="I10" i="17" s="1"/>
  <c r="I9" i="17" s="1"/>
  <c r="I8" i="17" s="1"/>
  <c r="I7" i="17" s="1"/>
  <c r="I6" i="17" s="1"/>
  <c r="I5" i="17" s="1"/>
  <c r="I4" i="17" s="1"/>
  <c r="H14" i="17"/>
  <c r="H15" i="17" s="1"/>
  <c r="H16" i="17" s="1"/>
  <c r="H17" i="17" s="1"/>
  <c r="H18" i="17" s="1"/>
  <c r="H19" i="17" s="1"/>
  <c r="H20" i="17" s="1"/>
  <c r="H21" i="17" s="1"/>
  <c r="H22" i="17" s="1"/>
  <c r="H23" i="17" s="1"/>
  <c r="H24" i="17" s="1"/>
  <c r="H25" i="17" s="1"/>
  <c r="H26" i="17" s="1"/>
  <c r="H27" i="17" s="1"/>
  <c r="H28" i="17" s="1"/>
  <c r="H29" i="17" s="1"/>
  <c r="G13" i="17"/>
  <c r="L17" i="15"/>
  <c r="L16" i="15" s="1"/>
  <c r="L15" i="15" s="1"/>
  <c r="L14" i="15" s="1"/>
  <c r="L13" i="15" s="1"/>
  <c r="L12" i="15" s="1"/>
  <c r="L11" i="15" s="1"/>
  <c r="L10" i="15" s="1"/>
  <c r="L9" i="15" s="1"/>
  <c r="L8" i="15" s="1"/>
  <c r="L7" i="15" s="1"/>
  <c r="L6" i="15" s="1"/>
  <c r="L5" i="15" s="1"/>
  <c r="L4" i="15" s="1"/>
  <c r="K17" i="15"/>
  <c r="L18" i="15" s="1"/>
  <c r="J17" i="15"/>
  <c r="J18" i="15" s="1"/>
  <c r="J19" i="15" s="1"/>
  <c r="J20" i="15" s="1"/>
  <c r="J21" i="15" s="1"/>
  <c r="J22" i="15" s="1"/>
  <c r="J23" i="15" s="1"/>
  <c r="J24" i="15" s="1"/>
  <c r="J25" i="15" s="1"/>
  <c r="J26" i="15" s="1"/>
  <c r="J27" i="15" s="1"/>
  <c r="J28" i="15" s="1"/>
  <c r="J29" i="15" s="1"/>
  <c r="K16" i="15"/>
  <c r="K15" i="15"/>
  <c r="K14" i="15" s="1"/>
  <c r="K13" i="15" s="1"/>
  <c r="K12" i="15" s="1"/>
  <c r="K11" i="15" s="1"/>
  <c r="K10" i="15" s="1"/>
  <c r="K9" i="15" s="1"/>
  <c r="K8" i="15" s="1"/>
  <c r="K7" i="15" s="1"/>
  <c r="K6" i="15" s="1"/>
  <c r="K5" i="15" s="1"/>
  <c r="K4" i="15" s="1"/>
  <c r="J15" i="15"/>
  <c r="J14" i="15" s="1"/>
  <c r="J13" i="15" s="1"/>
  <c r="J12" i="15" s="1"/>
  <c r="J11" i="15" s="1"/>
  <c r="J10" i="15" s="1"/>
  <c r="I15" i="15"/>
  <c r="I16" i="15" s="1"/>
  <c r="I17" i="15" s="1"/>
  <c r="I18" i="15" s="1"/>
  <c r="I19" i="15" s="1"/>
  <c r="I20" i="15" s="1"/>
  <c r="I21" i="15" s="1"/>
  <c r="I22" i="15" s="1"/>
  <c r="I23" i="15" s="1"/>
  <c r="I24" i="15" s="1"/>
  <c r="I25" i="15" s="1"/>
  <c r="I26" i="15" s="1"/>
  <c r="I27" i="15" s="1"/>
  <c r="I28" i="15" s="1"/>
  <c r="I29" i="15" s="1"/>
  <c r="J9" i="15"/>
  <c r="J8" i="15" s="1"/>
  <c r="J7" i="15" s="1"/>
  <c r="J6" i="15" s="1"/>
  <c r="J5" i="15" s="1"/>
  <c r="J4" i="15" s="1"/>
  <c r="F18" i="23"/>
  <c r="F18" i="1"/>
  <c r="G14" i="19" l="1"/>
  <c r="G15" i="19" s="1"/>
  <c r="G16" i="19" s="1"/>
  <c r="G17" i="19" s="1"/>
  <c r="G18" i="19" s="1"/>
  <c r="G19" i="19" s="1"/>
  <c r="G20" i="19" s="1"/>
  <c r="G21" i="19" s="1"/>
  <c r="G22" i="19" s="1"/>
  <c r="G23" i="19" s="1"/>
  <c r="G24" i="19" s="1"/>
  <c r="G25" i="19" s="1"/>
  <c r="G26" i="19" s="1"/>
  <c r="G27" i="19" s="1"/>
  <c r="G28" i="19" s="1"/>
  <c r="G29" i="19" s="1"/>
  <c r="G12" i="19"/>
  <c r="G11" i="19" s="1"/>
  <c r="G10" i="19" s="1"/>
  <c r="G9" i="19" s="1"/>
  <c r="G8" i="19" s="1"/>
  <c r="G7" i="19" s="1"/>
  <c r="G6" i="19" s="1"/>
  <c r="G5" i="19" s="1"/>
  <c r="G4" i="19" s="1"/>
  <c r="F12" i="19"/>
  <c r="H13" i="17"/>
  <c r="H12" i="17" s="1"/>
  <c r="H11" i="17" s="1"/>
  <c r="H10" i="17" s="1"/>
  <c r="H9" i="17" s="1"/>
  <c r="H8" i="17" s="1"/>
  <c r="H7" i="17" s="1"/>
  <c r="H6" i="17" s="1"/>
  <c r="H5" i="17" s="1"/>
  <c r="H4" i="17" s="1"/>
  <c r="G13" i="20"/>
  <c r="K16" i="20"/>
  <c r="K15" i="20" s="1"/>
  <c r="K14" i="20" s="1"/>
  <c r="K13" i="20" s="1"/>
  <c r="K12" i="20" s="1"/>
  <c r="K11" i="20" s="1"/>
  <c r="K10" i="20" s="1"/>
  <c r="K9" i="20" s="1"/>
  <c r="K8" i="20" s="1"/>
  <c r="K7" i="20" s="1"/>
  <c r="K6" i="20" s="1"/>
  <c r="K5" i="20" s="1"/>
  <c r="K4" i="20" s="1"/>
  <c r="K18" i="19"/>
  <c r="K19" i="19" s="1"/>
  <c r="K20" i="19" s="1"/>
  <c r="K21" i="19" s="1"/>
  <c r="K22" i="19" s="1"/>
  <c r="K23" i="19" s="1"/>
  <c r="K24" i="19" s="1"/>
  <c r="K25" i="19" s="1"/>
  <c r="K26" i="19" s="1"/>
  <c r="K27" i="19" s="1"/>
  <c r="K28" i="19" s="1"/>
  <c r="K29" i="19" s="1"/>
  <c r="H13" i="18"/>
  <c r="H12" i="18" s="1"/>
  <c r="H11" i="18" s="1"/>
  <c r="H10" i="18" s="1"/>
  <c r="H9" i="18" s="1"/>
  <c r="H8" i="18" s="1"/>
  <c r="H7" i="18" s="1"/>
  <c r="H6" i="18" s="1"/>
  <c r="H5" i="18" s="1"/>
  <c r="H4" i="18" s="1"/>
  <c r="K16" i="18"/>
  <c r="K15" i="18" s="1"/>
  <c r="K14" i="18" s="1"/>
  <c r="K13" i="18" s="1"/>
  <c r="K12" i="18" s="1"/>
  <c r="K11" i="18" s="1"/>
  <c r="K10" i="18" s="1"/>
  <c r="K9" i="18" s="1"/>
  <c r="K8" i="18" s="1"/>
  <c r="K7" i="18" s="1"/>
  <c r="K6" i="18" s="1"/>
  <c r="K5" i="18" s="1"/>
  <c r="K4" i="18" s="1"/>
  <c r="G11" i="23"/>
  <c r="G13" i="23" s="1"/>
  <c r="A10" i="17" s="1"/>
  <c r="F20" i="23"/>
  <c r="F19" i="23"/>
  <c r="I7" i="5"/>
  <c r="G7" i="5"/>
  <c r="G11" i="1"/>
  <c r="G13" i="1" s="1"/>
  <c r="A10" i="15" s="1"/>
  <c r="I7" i="26"/>
  <c r="F7" i="24"/>
  <c r="G7" i="26"/>
  <c r="G7" i="24"/>
  <c r="I5" i="25"/>
  <c r="I6" i="25" s="1"/>
  <c r="I6" i="24"/>
  <c r="I7" i="24" s="1"/>
  <c r="H7" i="5"/>
  <c r="C5" i="25"/>
  <c r="C6" i="24"/>
  <c r="D6" i="24"/>
  <c r="D5" i="25"/>
  <c r="D6" i="25" s="1"/>
  <c r="H7" i="26"/>
  <c r="J7" i="5"/>
  <c r="K7" i="5"/>
  <c r="H6" i="25"/>
  <c r="H7" i="25" s="1"/>
  <c r="K7" i="26"/>
  <c r="J7" i="26"/>
  <c r="E7" i="5"/>
  <c r="C6" i="5"/>
  <c r="D7" i="5" s="1"/>
  <c r="L7" i="24"/>
  <c r="J5" i="25"/>
  <c r="J6" i="25" s="1"/>
  <c r="J6" i="24"/>
  <c r="H7" i="24"/>
  <c r="F7" i="5"/>
  <c r="E7" i="26"/>
  <c r="C6" i="26"/>
  <c r="F7" i="26"/>
  <c r="G7" i="25"/>
  <c r="F7" i="25"/>
  <c r="F19" i="1"/>
  <c r="G10" i="1"/>
  <c r="F20" i="1"/>
  <c r="L17" i="20"/>
  <c r="L16" i="20" s="1"/>
  <c r="L15" i="20" s="1"/>
  <c r="L14" i="20" s="1"/>
  <c r="L13" i="20" s="1"/>
  <c r="L12" i="20" s="1"/>
  <c r="L11" i="20" s="1"/>
  <c r="L10" i="20" s="1"/>
  <c r="L9" i="20" s="1"/>
  <c r="L8" i="20" s="1"/>
  <c r="L7" i="20" s="1"/>
  <c r="L6" i="20" s="1"/>
  <c r="L5" i="20" s="1"/>
  <c r="L4" i="20" s="1"/>
  <c r="M19" i="20"/>
  <c r="L19" i="20"/>
  <c r="L20" i="20" s="1"/>
  <c r="L21" i="20" s="1"/>
  <c r="L22" i="20" s="1"/>
  <c r="L23" i="20" s="1"/>
  <c r="L24" i="20" s="1"/>
  <c r="L25" i="20" s="1"/>
  <c r="L26" i="20" s="1"/>
  <c r="L27" i="20" s="1"/>
  <c r="L28" i="20" s="1"/>
  <c r="L29" i="20" s="1"/>
  <c r="K18" i="20"/>
  <c r="K19" i="20" s="1"/>
  <c r="K20" i="20" s="1"/>
  <c r="K21" i="20" s="1"/>
  <c r="K22" i="20" s="1"/>
  <c r="K23" i="20" s="1"/>
  <c r="K24" i="20" s="1"/>
  <c r="K25" i="20" s="1"/>
  <c r="K26" i="20" s="1"/>
  <c r="K27" i="20" s="1"/>
  <c r="K28" i="20" s="1"/>
  <c r="K29" i="20" s="1"/>
  <c r="G14" i="20"/>
  <c r="G15" i="20" s="1"/>
  <c r="G16" i="20" s="1"/>
  <c r="G17" i="20" s="1"/>
  <c r="G18" i="20" s="1"/>
  <c r="G19" i="20" s="1"/>
  <c r="G20" i="20" s="1"/>
  <c r="G21" i="20" s="1"/>
  <c r="G22" i="20" s="1"/>
  <c r="G23" i="20" s="1"/>
  <c r="G24" i="20" s="1"/>
  <c r="G25" i="20" s="1"/>
  <c r="G26" i="20" s="1"/>
  <c r="G27" i="20" s="1"/>
  <c r="G28" i="20" s="1"/>
  <c r="G29" i="20" s="1"/>
  <c r="L19" i="17"/>
  <c r="L20" i="17" s="1"/>
  <c r="L21" i="17" s="1"/>
  <c r="L22" i="17" s="1"/>
  <c r="L23" i="17" s="1"/>
  <c r="L24" i="17" s="1"/>
  <c r="L25" i="17" s="1"/>
  <c r="L26" i="17" s="1"/>
  <c r="L27" i="17" s="1"/>
  <c r="L28" i="17" s="1"/>
  <c r="L29" i="17" s="1"/>
  <c r="L17" i="17"/>
  <c r="L16" i="17" s="1"/>
  <c r="L15" i="17" s="1"/>
  <c r="L14" i="17" s="1"/>
  <c r="L13" i="17" s="1"/>
  <c r="L12" i="17" s="1"/>
  <c r="L11" i="17" s="1"/>
  <c r="L10" i="17" s="1"/>
  <c r="L9" i="17" s="1"/>
  <c r="L8" i="17" s="1"/>
  <c r="L7" i="17" s="1"/>
  <c r="L6" i="17" s="1"/>
  <c r="L5" i="17" s="1"/>
  <c r="L4" i="17" s="1"/>
  <c r="M19" i="17"/>
  <c r="F12" i="17"/>
  <c r="G14" i="17"/>
  <c r="G15" i="17" s="1"/>
  <c r="G16" i="17" s="1"/>
  <c r="G17" i="17" s="1"/>
  <c r="G18" i="17" s="1"/>
  <c r="G19" i="17" s="1"/>
  <c r="G20" i="17" s="1"/>
  <c r="G21" i="17" s="1"/>
  <c r="G22" i="17" s="1"/>
  <c r="G23" i="17" s="1"/>
  <c r="G24" i="17" s="1"/>
  <c r="G25" i="17" s="1"/>
  <c r="G26" i="17" s="1"/>
  <c r="G27" i="17" s="1"/>
  <c r="G28" i="17" s="1"/>
  <c r="G29" i="17" s="1"/>
  <c r="G12" i="17"/>
  <c r="G11" i="17" s="1"/>
  <c r="G10" i="17" s="1"/>
  <c r="G9" i="17" s="1"/>
  <c r="G8" i="17" s="1"/>
  <c r="G7" i="17" s="1"/>
  <c r="G6" i="17" s="1"/>
  <c r="G5" i="17" s="1"/>
  <c r="G4" i="17" s="1"/>
  <c r="K18" i="17"/>
  <c r="K19" i="17" s="1"/>
  <c r="K20" i="17" s="1"/>
  <c r="K21" i="17" s="1"/>
  <c r="K22" i="17" s="1"/>
  <c r="K23" i="17" s="1"/>
  <c r="K24" i="17" s="1"/>
  <c r="K25" i="17" s="1"/>
  <c r="K26" i="17" s="1"/>
  <c r="K27" i="17" s="1"/>
  <c r="K28" i="17" s="1"/>
  <c r="K29" i="17" s="1"/>
  <c r="K16" i="17"/>
  <c r="K15" i="17" s="1"/>
  <c r="K14" i="17" s="1"/>
  <c r="K13" i="17" s="1"/>
  <c r="K12" i="17" s="1"/>
  <c r="K11" i="17" s="1"/>
  <c r="K10" i="17" s="1"/>
  <c r="K9" i="17" s="1"/>
  <c r="K8" i="17" s="1"/>
  <c r="K7" i="17" s="1"/>
  <c r="K6" i="17" s="1"/>
  <c r="K5" i="17" s="1"/>
  <c r="K4" i="17" s="1"/>
  <c r="M19" i="18"/>
  <c r="L19" i="18"/>
  <c r="L20" i="18" s="1"/>
  <c r="L21" i="18" s="1"/>
  <c r="L22" i="18" s="1"/>
  <c r="L23" i="18" s="1"/>
  <c r="L24" i="18" s="1"/>
  <c r="L25" i="18" s="1"/>
  <c r="L26" i="18" s="1"/>
  <c r="L27" i="18" s="1"/>
  <c r="L28" i="18" s="1"/>
  <c r="L29" i="18" s="1"/>
  <c r="L17" i="18"/>
  <c r="L16" i="18" s="1"/>
  <c r="L15" i="18" s="1"/>
  <c r="L14" i="18" s="1"/>
  <c r="L13" i="18" s="1"/>
  <c r="L12" i="18" s="1"/>
  <c r="L11" i="18" s="1"/>
  <c r="L10" i="18" s="1"/>
  <c r="L9" i="18" s="1"/>
  <c r="L8" i="18" s="1"/>
  <c r="L7" i="18" s="1"/>
  <c r="L6" i="18" s="1"/>
  <c r="L5" i="18" s="1"/>
  <c r="L4" i="18" s="1"/>
  <c r="G13" i="18"/>
  <c r="K18" i="18"/>
  <c r="K19" i="18" s="1"/>
  <c r="K20" i="18" s="1"/>
  <c r="K21" i="18" s="1"/>
  <c r="K22" i="18" s="1"/>
  <c r="K23" i="18" s="1"/>
  <c r="K24" i="18" s="1"/>
  <c r="K25" i="18" s="1"/>
  <c r="K26" i="18" s="1"/>
  <c r="K27" i="18" s="1"/>
  <c r="K28" i="18" s="1"/>
  <c r="K29" i="18" s="1"/>
  <c r="L18" i="19"/>
  <c r="M19" i="15"/>
  <c r="L19" i="15"/>
  <c r="L20" i="15" s="1"/>
  <c r="L21" i="15" s="1"/>
  <c r="L22" i="15" s="1"/>
  <c r="L23" i="15" s="1"/>
  <c r="L24" i="15" s="1"/>
  <c r="L25" i="15" s="1"/>
  <c r="L26" i="15" s="1"/>
  <c r="L27" i="15" s="1"/>
  <c r="L28" i="15" s="1"/>
  <c r="L29" i="15" s="1"/>
  <c r="H14" i="15"/>
  <c r="I14" i="15"/>
  <c r="I13" i="15" s="1"/>
  <c r="I12" i="15" s="1"/>
  <c r="I11" i="15" s="1"/>
  <c r="I10" i="15" s="1"/>
  <c r="I9" i="15" s="1"/>
  <c r="I8" i="15" s="1"/>
  <c r="I7" i="15" s="1"/>
  <c r="I6" i="15" s="1"/>
  <c r="I5" i="15" s="1"/>
  <c r="I4" i="15" s="1"/>
  <c r="K18" i="15"/>
  <c r="K19" i="15" s="1"/>
  <c r="K20" i="15" s="1"/>
  <c r="K21" i="15" s="1"/>
  <c r="K22" i="15" s="1"/>
  <c r="K23" i="15" s="1"/>
  <c r="K24" i="15" s="1"/>
  <c r="K25" i="15" s="1"/>
  <c r="K26" i="15" s="1"/>
  <c r="K27" i="15" s="1"/>
  <c r="K28" i="15" s="1"/>
  <c r="K29" i="15" s="1"/>
  <c r="G12" i="20" l="1"/>
  <c r="G11" i="20" s="1"/>
  <c r="G10" i="20" s="1"/>
  <c r="G9" i="20" s="1"/>
  <c r="G8" i="20" s="1"/>
  <c r="G7" i="20" s="1"/>
  <c r="G6" i="20" s="1"/>
  <c r="G5" i="20" s="1"/>
  <c r="G4" i="20" s="1"/>
  <c r="F12" i="20"/>
  <c r="F13" i="19"/>
  <c r="F14" i="19" s="1"/>
  <c r="F15" i="19" s="1"/>
  <c r="F16" i="19" s="1"/>
  <c r="F17" i="19" s="1"/>
  <c r="F18" i="19" s="1"/>
  <c r="F19" i="19" s="1"/>
  <c r="F20" i="19" s="1"/>
  <c r="F21" i="19" s="1"/>
  <c r="F22" i="19" s="1"/>
  <c r="F23" i="19" s="1"/>
  <c r="F24" i="19" s="1"/>
  <c r="F25" i="19" s="1"/>
  <c r="F26" i="19" s="1"/>
  <c r="F27" i="19" s="1"/>
  <c r="F28" i="19" s="1"/>
  <c r="F29" i="19" s="1"/>
  <c r="F11" i="19"/>
  <c r="F10" i="19" s="1"/>
  <c r="F9" i="19" s="1"/>
  <c r="F8" i="19" s="1"/>
  <c r="F7" i="19" s="1"/>
  <c r="F6" i="19" s="1"/>
  <c r="F5" i="19" s="1"/>
  <c r="F4" i="19" s="1"/>
  <c r="H13" i="1"/>
  <c r="D7" i="24"/>
  <c r="I7" i="25"/>
  <c r="J7" i="24"/>
  <c r="C8" i="26"/>
  <c r="D8" i="26" s="1"/>
  <c r="E8" i="26" s="1"/>
  <c r="F8" i="26" s="1"/>
  <c r="G8" i="26" s="1"/>
  <c r="H8" i="26" s="1"/>
  <c r="I8" i="26" s="1"/>
  <c r="J8" i="26" s="1"/>
  <c r="K8" i="26" s="1"/>
  <c r="L8" i="26" s="1"/>
  <c r="F17" i="26"/>
  <c r="C9" i="26"/>
  <c r="D9" i="26" s="1"/>
  <c r="E9" i="26" s="1"/>
  <c r="F9" i="26" s="1"/>
  <c r="G9" i="26" s="1"/>
  <c r="H9" i="26" s="1"/>
  <c r="I9" i="26" s="1"/>
  <c r="J9" i="26" s="1"/>
  <c r="K9" i="26" s="1"/>
  <c r="L9" i="26" s="1"/>
  <c r="J7" i="25"/>
  <c r="K7" i="25"/>
  <c r="F17" i="24"/>
  <c r="H13" i="23"/>
  <c r="E7" i="25"/>
  <c r="C6" i="25"/>
  <c r="D7" i="25" s="1"/>
  <c r="E7" i="24"/>
  <c r="C8" i="5"/>
  <c r="D8" i="5" s="1"/>
  <c r="E8" i="5" s="1"/>
  <c r="F8" i="5" s="1"/>
  <c r="G8" i="5" s="1"/>
  <c r="H8" i="5" s="1"/>
  <c r="I8" i="5" s="1"/>
  <c r="J8" i="5" s="1"/>
  <c r="K8" i="5" s="1"/>
  <c r="L8" i="5" s="1"/>
  <c r="C9" i="5"/>
  <c r="D9" i="5" s="1"/>
  <c r="E9" i="5" s="1"/>
  <c r="F9" i="5" s="1"/>
  <c r="G9" i="5" s="1"/>
  <c r="H9" i="5" s="1"/>
  <c r="I9" i="5" s="1"/>
  <c r="J9" i="5" s="1"/>
  <c r="K9" i="5" s="1"/>
  <c r="L9" i="5" s="1"/>
  <c r="F17" i="5"/>
  <c r="G10" i="26"/>
  <c r="G11" i="5"/>
  <c r="G13" i="5" s="1"/>
  <c r="G10" i="5"/>
  <c r="K7" i="24"/>
  <c r="D7" i="26"/>
  <c r="G11" i="26" s="1"/>
  <c r="G13" i="26" s="1"/>
  <c r="H13" i="26" s="1"/>
  <c r="M18" i="20"/>
  <c r="M17" i="20" s="1"/>
  <c r="M16" i="20" s="1"/>
  <c r="M15" i="20" s="1"/>
  <c r="M14" i="20" s="1"/>
  <c r="M13" i="20" s="1"/>
  <c r="M12" i="20" s="1"/>
  <c r="M11" i="20" s="1"/>
  <c r="M10" i="20" s="1"/>
  <c r="M9" i="20" s="1"/>
  <c r="M8" i="20" s="1"/>
  <c r="M7" i="20" s="1"/>
  <c r="M6" i="20" s="1"/>
  <c r="M5" i="20" s="1"/>
  <c r="M4" i="20" s="1"/>
  <c r="N20" i="20"/>
  <c r="M20" i="20"/>
  <c r="M21" i="20" s="1"/>
  <c r="M22" i="20" s="1"/>
  <c r="M23" i="20" s="1"/>
  <c r="M24" i="20" s="1"/>
  <c r="M25" i="20" s="1"/>
  <c r="M26" i="20" s="1"/>
  <c r="M27" i="20" s="1"/>
  <c r="M28" i="20" s="1"/>
  <c r="M29" i="20" s="1"/>
  <c r="G14" i="18"/>
  <c r="G15" i="18" s="1"/>
  <c r="G16" i="18" s="1"/>
  <c r="G17" i="18" s="1"/>
  <c r="G18" i="18" s="1"/>
  <c r="G19" i="18" s="1"/>
  <c r="G20" i="18" s="1"/>
  <c r="G21" i="18" s="1"/>
  <c r="G22" i="18" s="1"/>
  <c r="G23" i="18" s="1"/>
  <c r="G24" i="18" s="1"/>
  <c r="G25" i="18" s="1"/>
  <c r="G26" i="18" s="1"/>
  <c r="G27" i="18" s="1"/>
  <c r="G28" i="18" s="1"/>
  <c r="G29" i="18" s="1"/>
  <c r="G12" i="18"/>
  <c r="G11" i="18" s="1"/>
  <c r="G10" i="18" s="1"/>
  <c r="G9" i="18" s="1"/>
  <c r="G8" i="18" s="1"/>
  <c r="G7" i="18" s="1"/>
  <c r="G6" i="18" s="1"/>
  <c r="G5" i="18" s="1"/>
  <c r="G4" i="18" s="1"/>
  <c r="F12" i="18"/>
  <c r="L17" i="19"/>
  <c r="L16" i="19" s="1"/>
  <c r="L15" i="19" s="1"/>
  <c r="L14" i="19" s="1"/>
  <c r="L13" i="19" s="1"/>
  <c r="L12" i="19" s="1"/>
  <c r="L11" i="19" s="1"/>
  <c r="L10" i="19" s="1"/>
  <c r="L9" i="19" s="1"/>
  <c r="L8" i="19" s="1"/>
  <c r="L7" i="19" s="1"/>
  <c r="L6" i="19" s="1"/>
  <c r="L5" i="19" s="1"/>
  <c r="L4" i="19" s="1"/>
  <c r="M19" i="19"/>
  <c r="L19" i="19"/>
  <c r="L20" i="19" s="1"/>
  <c r="L21" i="19" s="1"/>
  <c r="L22" i="19" s="1"/>
  <c r="L23" i="19" s="1"/>
  <c r="L24" i="19" s="1"/>
  <c r="L25" i="19" s="1"/>
  <c r="L26" i="19" s="1"/>
  <c r="L27" i="19" s="1"/>
  <c r="L28" i="19" s="1"/>
  <c r="L29" i="19" s="1"/>
  <c r="F11" i="17"/>
  <c r="F10" i="17" s="1"/>
  <c r="F9" i="17" s="1"/>
  <c r="F8" i="17" s="1"/>
  <c r="F7" i="17" s="1"/>
  <c r="F6" i="17" s="1"/>
  <c r="F5" i="17" s="1"/>
  <c r="F4" i="17" s="1"/>
  <c r="F13" i="17"/>
  <c r="F14" i="17" s="1"/>
  <c r="F15" i="17" s="1"/>
  <c r="F16" i="17" s="1"/>
  <c r="F17" i="17" s="1"/>
  <c r="F18" i="17" s="1"/>
  <c r="F19" i="17" s="1"/>
  <c r="F20" i="17" s="1"/>
  <c r="F21" i="17" s="1"/>
  <c r="F22" i="17" s="1"/>
  <c r="F23" i="17" s="1"/>
  <c r="F24" i="17" s="1"/>
  <c r="F25" i="17" s="1"/>
  <c r="F26" i="17" s="1"/>
  <c r="F27" i="17" s="1"/>
  <c r="F28" i="17" s="1"/>
  <c r="F29" i="17" s="1"/>
  <c r="N20" i="18"/>
  <c r="M20" i="18"/>
  <c r="M21" i="18" s="1"/>
  <c r="M22" i="18" s="1"/>
  <c r="M23" i="18" s="1"/>
  <c r="M24" i="18" s="1"/>
  <c r="M25" i="18" s="1"/>
  <c r="M26" i="18" s="1"/>
  <c r="M27" i="18" s="1"/>
  <c r="M28" i="18" s="1"/>
  <c r="M29" i="18" s="1"/>
  <c r="M18" i="18"/>
  <c r="M17" i="18" s="1"/>
  <c r="M16" i="18" s="1"/>
  <c r="M15" i="18" s="1"/>
  <c r="M14" i="18" s="1"/>
  <c r="M13" i="18" s="1"/>
  <c r="M12" i="18" s="1"/>
  <c r="M11" i="18" s="1"/>
  <c r="M10" i="18" s="1"/>
  <c r="M9" i="18" s="1"/>
  <c r="M8" i="18" s="1"/>
  <c r="M7" i="18" s="1"/>
  <c r="M6" i="18" s="1"/>
  <c r="M5" i="18" s="1"/>
  <c r="M4" i="18" s="1"/>
  <c r="M20" i="17"/>
  <c r="M21" i="17" s="1"/>
  <c r="M22" i="17" s="1"/>
  <c r="M23" i="17" s="1"/>
  <c r="M24" i="17" s="1"/>
  <c r="M25" i="17" s="1"/>
  <c r="M26" i="17" s="1"/>
  <c r="M27" i="17" s="1"/>
  <c r="M28" i="17" s="1"/>
  <c r="M29" i="17" s="1"/>
  <c r="N20" i="17"/>
  <c r="M18" i="17"/>
  <c r="M17" i="17" s="1"/>
  <c r="M16" i="17" s="1"/>
  <c r="M15" i="17" s="1"/>
  <c r="M14" i="17" s="1"/>
  <c r="M13" i="17" s="1"/>
  <c r="M12" i="17" s="1"/>
  <c r="M11" i="17" s="1"/>
  <c r="M10" i="17" s="1"/>
  <c r="M9" i="17" s="1"/>
  <c r="M8" i="17" s="1"/>
  <c r="M7" i="17" s="1"/>
  <c r="M6" i="17" s="1"/>
  <c r="M5" i="17" s="1"/>
  <c r="M4" i="17" s="1"/>
  <c r="H15" i="15"/>
  <c r="H16" i="15" s="1"/>
  <c r="H17" i="15" s="1"/>
  <c r="H18" i="15" s="1"/>
  <c r="H19" i="15" s="1"/>
  <c r="H20" i="15" s="1"/>
  <c r="H21" i="15" s="1"/>
  <c r="H22" i="15" s="1"/>
  <c r="H23" i="15" s="1"/>
  <c r="H24" i="15" s="1"/>
  <c r="H25" i="15" s="1"/>
  <c r="H26" i="15" s="1"/>
  <c r="H27" i="15" s="1"/>
  <c r="H28" i="15" s="1"/>
  <c r="H29" i="15" s="1"/>
  <c r="H13" i="15"/>
  <c r="H12" i="15" s="1"/>
  <c r="H11" i="15" s="1"/>
  <c r="H10" i="15" s="1"/>
  <c r="H9" i="15" s="1"/>
  <c r="H8" i="15" s="1"/>
  <c r="H7" i="15" s="1"/>
  <c r="H6" i="15" s="1"/>
  <c r="H5" i="15" s="1"/>
  <c r="H4" i="15" s="1"/>
  <c r="G13" i="15"/>
  <c r="N20" i="15"/>
  <c r="M20" i="15"/>
  <c r="M21" i="15" s="1"/>
  <c r="M22" i="15" s="1"/>
  <c r="M23" i="15" s="1"/>
  <c r="M24" i="15" s="1"/>
  <c r="M25" i="15" s="1"/>
  <c r="M26" i="15" s="1"/>
  <c r="M27" i="15" s="1"/>
  <c r="M28" i="15" s="1"/>
  <c r="M29" i="15" s="1"/>
  <c r="M18" i="15"/>
  <c r="M17" i="15" s="1"/>
  <c r="M16" i="15" s="1"/>
  <c r="M15" i="15" s="1"/>
  <c r="M14" i="15" s="1"/>
  <c r="M13" i="15" s="1"/>
  <c r="M12" i="15" s="1"/>
  <c r="M11" i="15" s="1"/>
  <c r="M10" i="15" s="1"/>
  <c r="M9" i="15" s="1"/>
  <c r="M8" i="15" s="1"/>
  <c r="M7" i="15" s="1"/>
  <c r="M6" i="15" s="1"/>
  <c r="M5" i="15" s="1"/>
  <c r="M4" i="15" s="1"/>
  <c r="F18" i="24"/>
  <c r="F18" i="26"/>
  <c r="F18" i="5"/>
  <c r="F11" i="20" l="1"/>
  <c r="F10" i="20" s="1"/>
  <c r="F9" i="20" s="1"/>
  <c r="F8" i="20" s="1"/>
  <c r="F7" i="20" s="1"/>
  <c r="F6" i="20" s="1"/>
  <c r="F5" i="20" s="1"/>
  <c r="F4" i="20" s="1"/>
  <c r="F13" i="20"/>
  <c r="F14" i="20" s="1"/>
  <c r="F15" i="20" s="1"/>
  <c r="F16" i="20" s="1"/>
  <c r="F17" i="20" s="1"/>
  <c r="F18" i="20" s="1"/>
  <c r="F19" i="20" s="1"/>
  <c r="F20" i="20" s="1"/>
  <c r="F21" i="20" s="1"/>
  <c r="F22" i="20" s="1"/>
  <c r="F23" i="20" s="1"/>
  <c r="F24" i="20" s="1"/>
  <c r="F25" i="20" s="1"/>
  <c r="F26" i="20" s="1"/>
  <c r="F27" i="20" s="1"/>
  <c r="F28" i="20" s="1"/>
  <c r="F29" i="20" s="1"/>
  <c r="G10" i="24"/>
  <c r="G10" i="25"/>
  <c r="G11" i="25"/>
  <c r="G13" i="25" s="1"/>
  <c r="C9" i="25"/>
  <c r="D9" i="25" s="1"/>
  <c r="E9" i="25" s="1"/>
  <c r="F9" i="25" s="1"/>
  <c r="G9" i="25" s="1"/>
  <c r="H9" i="25" s="1"/>
  <c r="I9" i="25" s="1"/>
  <c r="J9" i="25" s="1"/>
  <c r="K9" i="25" s="1"/>
  <c r="L9" i="25" s="1"/>
  <c r="C8" i="25"/>
  <c r="D8" i="25" s="1"/>
  <c r="E8" i="25" s="1"/>
  <c r="F8" i="25" s="1"/>
  <c r="G8" i="25" s="1"/>
  <c r="H8" i="25" s="1"/>
  <c r="I8" i="25" s="1"/>
  <c r="J8" i="25" s="1"/>
  <c r="K8" i="25" s="1"/>
  <c r="L8" i="25" s="1"/>
  <c r="F17" i="25"/>
  <c r="A10" i="20"/>
  <c r="F20" i="24"/>
  <c r="F19" i="24"/>
  <c r="F19" i="5"/>
  <c r="F20" i="5"/>
  <c r="F20" i="26"/>
  <c r="F19" i="26"/>
  <c r="G11" i="24"/>
  <c r="G13" i="24" s="1"/>
  <c r="H13" i="24" s="1"/>
  <c r="E16" i="15"/>
  <c r="E16" i="19"/>
  <c r="J3" i="19"/>
  <c r="N19" i="20"/>
  <c r="N18" i="20" s="1"/>
  <c r="N17" i="20" s="1"/>
  <c r="N16" i="20" s="1"/>
  <c r="N15" i="20" s="1"/>
  <c r="N14" i="20" s="1"/>
  <c r="N13" i="20" s="1"/>
  <c r="N12" i="20" s="1"/>
  <c r="N11" i="20" s="1"/>
  <c r="N10" i="20" s="1"/>
  <c r="N9" i="20" s="1"/>
  <c r="N8" i="20" s="1"/>
  <c r="N7" i="20" s="1"/>
  <c r="N6" i="20" s="1"/>
  <c r="N5" i="20" s="1"/>
  <c r="N4" i="20" s="1"/>
  <c r="O21" i="20"/>
  <c r="N21" i="20"/>
  <c r="N22" i="20" s="1"/>
  <c r="N23" i="20" s="1"/>
  <c r="N24" i="20" s="1"/>
  <c r="N25" i="20" s="1"/>
  <c r="N26" i="20" s="1"/>
  <c r="N27" i="20" s="1"/>
  <c r="N28" i="20" s="1"/>
  <c r="N29" i="20" s="1"/>
  <c r="O21" i="18"/>
  <c r="N21" i="18"/>
  <c r="N22" i="18" s="1"/>
  <c r="N23" i="18" s="1"/>
  <c r="N24" i="18" s="1"/>
  <c r="N25" i="18" s="1"/>
  <c r="N26" i="18" s="1"/>
  <c r="N27" i="18" s="1"/>
  <c r="N28" i="18" s="1"/>
  <c r="N29" i="18" s="1"/>
  <c r="N19" i="18"/>
  <c r="N18" i="18" s="1"/>
  <c r="N17" i="18" s="1"/>
  <c r="N16" i="18" s="1"/>
  <c r="N15" i="18" s="1"/>
  <c r="N14" i="18" s="1"/>
  <c r="N13" i="18" s="1"/>
  <c r="N12" i="18" s="1"/>
  <c r="N11" i="18" s="1"/>
  <c r="N10" i="18" s="1"/>
  <c r="N9" i="18" s="1"/>
  <c r="N8" i="18" s="1"/>
  <c r="N7" i="18" s="1"/>
  <c r="N6" i="18" s="1"/>
  <c r="N5" i="18" s="1"/>
  <c r="N4" i="18" s="1"/>
  <c r="M18" i="19"/>
  <c r="M17" i="19" s="1"/>
  <c r="M16" i="19" s="1"/>
  <c r="M15" i="19" s="1"/>
  <c r="M14" i="19" s="1"/>
  <c r="M13" i="19" s="1"/>
  <c r="M12" i="19" s="1"/>
  <c r="M11" i="19" s="1"/>
  <c r="M10" i="19" s="1"/>
  <c r="M9" i="19" s="1"/>
  <c r="M8" i="19" s="1"/>
  <c r="M7" i="19" s="1"/>
  <c r="M6" i="19" s="1"/>
  <c r="M5" i="19" s="1"/>
  <c r="M4" i="19" s="1"/>
  <c r="N20" i="19"/>
  <c r="M20" i="19"/>
  <c r="M21" i="19" s="1"/>
  <c r="M22" i="19" s="1"/>
  <c r="M23" i="19" s="1"/>
  <c r="M24" i="19" s="1"/>
  <c r="M25" i="19" s="1"/>
  <c r="M26" i="19" s="1"/>
  <c r="M27" i="19" s="1"/>
  <c r="M28" i="19" s="1"/>
  <c r="M29" i="19" s="1"/>
  <c r="N21" i="17"/>
  <c r="N22" i="17" s="1"/>
  <c r="N23" i="17" s="1"/>
  <c r="N24" i="17" s="1"/>
  <c r="N25" i="17" s="1"/>
  <c r="N26" i="17" s="1"/>
  <c r="N27" i="17" s="1"/>
  <c r="N28" i="17" s="1"/>
  <c r="N29" i="17" s="1"/>
  <c r="N19" i="17"/>
  <c r="N18" i="17" s="1"/>
  <c r="N17" i="17" s="1"/>
  <c r="N16" i="17" s="1"/>
  <c r="N15" i="17" s="1"/>
  <c r="N14" i="17" s="1"/>
  <c r="N13" i="17" s="1"/>
  <c r="N12" i="17" s="1"/>
  <c r="N11" i="17" s="1"/>
  <c r="N10" i="17" s="1"/>
  <c r="N9" i="17" s="1"/>
  <c r="N8" i="17" s="1"/>
  <c r="N7" i="17" s="1"/>
  <c r="N6" i="17" s="1"/>
  <c r="N5" i="17" s="1"/>
  <c r="N4" i="17" s="1"/>
  <c r="O21" i="17"/>
  <c r="F13" i="18"/>
  <c r="F14" i="18" s="1"/>
  <c r="F15" i="18" s="1"/>
  <c r="F16" i="18" s="1"/>
  <c r="F17" i="18" s="1"/>
  <c r="F18" i="18" s="1"/>
  <c r="F19" i="18" s="1"/>
  <c r="F20" i="18" s="1"/>
  <c r="F21" i="18" s="1"/>
  <c r="F22" i="18" s="1"/>
  <c r="F23" i="18" s="1"/>
  <c r="F24" i="18" s="1"/>
  <c r="F25" i="18" s="1"/>
  <c r="F26" i="18" s="1"/>
  <c r="F27" i="18" s="1"/>
  <c r="F28" i="18" s="1"/>
  <c r="F29" i="18" s="1"/>
  <c r="F11" i="18"/>
  <c r="F10" i="18" s="1"/>
  <c r="F9" i="18" s="1"/>
  <c r="F8" i="18" s="1"/>
  <c r="F7" i="18" s="1"/>
  <c r="F6" i="18" s="1"/>
  <c r="F5" i="18" s="1"/>
  <c r="F4" i="18" s="1"/>
  <c r="O21" i="15"/>
  <c r="N21" i="15"/>
  <c r="N22" i="15" s="1"/>
  <c r="N23" i="15" s="1"/>
  <c r="N24" i="15" s="1"/>
  <c r="N25" i="15" s="1"/>
  <c r="N26" i="15" s="1"/>
  <c r="N27" i="15" s="1"/>
  <c r="N28" i="15" s="1"/>
  <c r="N29" i="15" s="1"/>
  <c r="N19" i="15"/>
  <c r="N18" i="15" s="1"/>
  <c r="N17" i="15" s="1"/>
  <c r="N16" i="15" s="1"/>
  <c r="N15" i="15" s="1"/>
  <c r="N14" i="15" s="1"/>
  <c r="N13" i="15" s="1"/>
  <c r="N12" i="15" s="1"/>
  <c r="N11" i="15" s="1"/>
  <c r="N10" i="15" s="1"/>
  <c r="N9" i="15" s="1"/>
  <c r="N8" i="15" s="1"/>
  <c r="N7" i="15" s="1"/>
  <c r="N6" i="15" s="1"/>
  <c r="N5" i="15" s="1"/>
  <c r="N4" i="15" s="1"/>
  <c r="G14" i="15"/>
  <c r="G15" i="15" s="1"/>
  <c r="G16" i="15" s="1"/>
  <c r="G17" i="15" s="1"/>
  <c r="G18" i="15" s="1"/>
  <c r="G19" i="15" s="1"/>
  <c r="G20" i="15" s="1"/>
  <c r="G21" i="15" s="1"/>
  <c r="G22" i="15" s="1"/>
  <c r="G23" i="15" s="1"/>
  <c r="G24" i="15" s="1"/>
  <c r="G25" i="15" s="1"/>
  <c r="G26" i="15" s="1"/>
  <c r="G27" i="15" s="1"/>
  <c r="G28" i="15" s="1"/>
  <c r="G29" i="15" s="1"/>
  <c r="G12" i="15"/>
  <c r="G11" i="15" s="1"/>
  <c r="G10" i="15" s="1"/>
  <c r="G9" i="15" s="1"/>
  <c r="G8" i="15" s="1"/>
  <c r="G7" i="15" s="1"/>
  <c r="G6" i="15" s="1"/>
  <c r="G5" i="15" s="1"/>
  <c r="G4" i="15" s="1"/>
  <c r="F12" i="15"/>
  <c r="F18" i="25"/>
  <c r="F20" i="25" l="1"/>
  <c r="F19" i="25"/>
  <c r="H13" i="25"/>
  <c r="A10" i="18"/>
  <c r="J3" i="15"/>
  <c r="I3" i="15" s="1"/>
  <c r="H3" i="15" s="1"/>
  <c r="G3" i="15" s="1"/>
  <c r="F3" i="15" s="1"/>
  <c r="E15" i="15"/>
  <c r="E14" i="15" s="1"/>
  <c r="E13" i="15" s="1"/>
  <c r="E12" i="15" s="1"/>
  <c r="E11" i="15" s="1"/>
  <c r="E10" i="15" s="1"/>
  <c r="E9" i="15" s="1"/>
  <c r="E8" i="15" s="1"/>
  <c r="E7" i="15" s="1"/>
  <c r="E6" i="15" s="1"/>
  <c r="E5" i="15" s="1"/>
  <c r="E4" i="15" s="1"/>
  <c r="E17" i="15"/>
  <c r="E18" i="15" s="1"/>
  <c r="E19" i="15" s="1"/>
  <c r="E20" i="15" s="1"/>
  <c r="E21" i="15" s="1"/>
  <c r="E22" i="15" s="1"/>
  <c r="E23" i="15" s="1"/>
  <c r="E24" i="15" s="1"/>
  <c r="E25" i="15" s="1"/>
  <c r="E26" i="15" s="1"/>
  <c r="E27" i="15" s="1"/>
  <c r="E28" i="15" s="1"/>
  <c r="E29" i="15" s="1"/>
  <c r="I3" i="19"/>
  <c r="H3" i="19" s="1"/>
  <c r="G3" i="19" s="1"/>
  <c r="F3" i="19" s="1"/>
  <c r="K3" i="19"/>
  <c r="L3" i="19" s="1"/>
  <c r="M3" i="19" s="1"/>
  <c r="N3" i="19" s="1"/>
  <c r="O3" i="19" s="1"/>
  <c r="E15" i="19"/>
  <c r="E14" i="19" s="1"/>
  <c r="E13" i="19" s="1"/>
  <c r="E12" i="19" s="1"/>
  <c r="E11" i="19" s="1"/>
  <c r="E10" i="19" s="1"/>
  <c r="E9" i="19" s="1"/>
  <c r="E8" i="19" s="1"/>
  <c r="E7" i="19" s="1"/>
  <c r="E6" i="19" s="1"/>
  <c r="E5" i="19" s="1"/>
  <c r="E4" i="19" s="1"/>
  <c r="E17" i="19"/>
  <c r="E18" i="19" s="1"/>
  <c r="E19" i="19" s="1"/>
  <c r="E20" i="19" s="1"/>
  <c r="E21" i="19" s="1"/>
  <c r="E22" i="19" s="1"/>
  <c r="E23" i="19" s="1"/>
  <c r="E24" i="19" s="1"/>
  <c r="E25" i="19" s="1"/>
  <c r="E26" i="19" s="1"/>
  <c r="E27" i="19" s="1"/>
  <c r="E28" i="19" s="1"/>
  <c r="E29" i="19" s="1"/>
  <c r="O20" i="20"/>
  <c r="O19" i="20" s="1"/>
  <c r="O18" i="20" s="1"/>
  <c r="O17" i="20" s="1"/>
  <c r="O16" i="20" s="1"/>
  <c r="O15" i="20" s="1"/>
  <c r="O14" i="20" s="1"/>
  <c r="O13" i="20" s="1"/>
  <c r="O12" i="20" s="1"/>
  <c r="O11" i="20" s="1"/>
  <c r="O10" i="20" s="1"/>
  <c r="O9" i="20" s="1"/>
  <c r="O8" i="20" s="1"/>
  <c r="O7" i="20" s="1"/>
  <c r="O6" i="20" s="1"/>
  <c r="O5" i="20" s="1"/>
  <c r="O4" i="20" s="1"/>
  <c r="O22" i="20"/>
  <c r="O23" i="20" s="1"/>
  <c r="O24" i="20" s="1"/>
  <c r="O25" i="20" s="1"/>
  <c r="O26" i="20" s="1"/>
  <c r="O27" i="20" s="1"/>
  <c r="O28" i="20" s="1"/>
  <c r="O29" i="20" s="1"/>
  <c r="O22" i="18"/>
  <c r="O23" i="18" s="1"/>
  <c r="O24" i="18" s="1"/>
  <c r="O25" i="18" s="1"/>
  <c r="O26" i="18" s="1"/>
  <c r="O27" i="18" s="1"/>
  <c r="O28" i="18" s="1"/>
  <c r="O29" i="18" s="1"/>
  <c r="O20" i="18"/>
  <c r="O19" i="18" s="1"/>
  <c r="O18" i="18" s="1"/>
  <c r="O17" i="18" s="1"/>
  <c r="O16" i="18" s="1"/>
  <c r="O15" i="18" s="1"/>
  <c r="O14" i="18" s="1"/>
  <c r="O13" i="18" s="1"/>
  <c r="O12" i="18" s="1"/>
  <c r="O11" i="18" s="1"/>
  <c r="O10" i="18" s="1"/>
  <c r="O9" i="18" s="1"/>
  <c r="O8" i="18" s="1"/>
  <c r="O7" i="18" s="1"/>
  <c r="O6" i="18" s="1"/>
  <c r="O5" i="18" s="1"/>
  <c r="O4" i="18" s="1"/>
  <c r="O22" i="17"/>
  <c r="O23" i="17" s="1"/>
  <c r="O24" i="17" s="1"/>
  <c r="O25" i="17" s="1"/>
  <c r="O26" i="17" s="1"/>
  <c r="O27" i="17" s="1"/>
  <c r="O28" i="17" s="1"/>
  <c r="O29" i="17" s="1"/>
  <c r="O20" i="17"/>
  <c r="O19" i="17" s="1"/>
  <c r="O18" i="17" s="1"/>
  <c r="O17" i="17" s="1"/>
  <c r="O16" i="17" s="1"/>
  <c r="O15" i="17" s="1"/>
  <c r="O14" i="17" s="1"/>
  <c r="O13" i="17" s="1"/>
  <c r="O12" i="17" s="1"/>
  <c r="O11" i="17" s="1"/>
  <c r="O10" i="17" s="1"/>
  <c r="O9" i="17" s="1"/>
  <c r="O8" i="17" s="1"/>
  <c r="O7" i="17" s="1"/>
  <c r="O6" i="17" s="1"/>
  <c r="O5" i="17" s="1"/>
  <c r="O4" i="17" s="1"/>
  <c r="N19" i="19"/>
  <c r="N18" i="19" s="1"/>
  <c r="N17" i="19" s="1"/>
  <c r="N16" i="19" s="1"/>
  <c r="N15" i="19" s="1"/>
  <c r="N14" i="19" s="1"/>
  <c r="N13" i="19" s="1"/>
  <c r="N12" i="19" s="1"/>
  <c r="N11" i="19" s="1"/>
  <c r="N10" i="19" s="1"/>
  <c r="N9" i="19" s="1"/>
  <c r="N8" i="19" s="1"/>
  <c r="N7" i="19" s="1"/>
  <c r="N6" i="19" s="1"/>
  <c r="N5" i="19" s="1"/>
  <c r="N4" i="19" s="1"/>
  <c r="O21" i="19"/>
  <c r="N21" i="19"/>
  <c r="N22" i="19" s="1"/>
  <c r="N23" i="19" s="1"/>
  <c r="N24" i="19" s="1"/>
  <c r="N25" i="19" s="1"/>
  <c r="N26" i="19" s="1"/>
  <c r="N27" i="19" s="1"/>
  <c r="N28" i="19" s="1"/>
  <c r="N29" i="19" s="1"/>
  <c r="F13" i="15"/>
  <c r="F14" i="15" s="1"/>
  <c r="F15" i="15" s="1"/>
  <c r="F16" i="15" s="1"/>
  <c r="F17" i="15" s="1"/>
  <c r="F18" i="15" s="1"/>
  <c r="F19" i="15" s="1"/>
  <c r="F20" i="15" s="1"/>
  <c r="F21" i="15" s="1"/>
  <c r="F22" i="15" s="1"/>
  <c r="F23" i="15" s="1"/>
  <c r="F24" i="15" s="1"/>
  <c r="F25" i="15" s="1"/>
  <c r="F26" i="15" s="1"/>
  <c r="F27" i="15" s="1"/>
  <c r="F28" i="15" s="1"/>
  <c r="F29" i="15" s="1"/>
  <c r="F11" i="15"/>
  <c r="F10" i="15" s="1"/>
  <c r="F9" i="15" s="1"/>
  <c r="F8" i="15" s="1"/>
  <c r="F7" i="15" s="1"/>
  <c r="F6" i="15" s="1"/>
  <c r="F5" i="15" s="1"/>
  <c r="F4" i="15" s="1"/>
  <c r="O22" i="15"/>
  <c r="O23" i="15" s="1"/>
  <c r="O24" i="15" s="1"/>
  <c r="O25" i="15" s="1"/>
  <c r="O26" i="15" s="1"/>
  <c r="O27" i="15" s="1"/>
  <c r="O28" i="15" s="1"/>
  <c r="O29" i="15" s="1"/>
  <c r="O20" i="15"/>
  <c r="O19" i="15" s="1"/>
  <c r="O18" i="15" s="1"/>
  <c r="O17" i="15" s="1"/>
  <c r="O16" i="15" s="1"/>
  <c r="O15" i="15" s="1"/>
  <c r="O14" i="15" s="1"/>
  <c r="O13" i="15" s="1"/>
  <c r="O12" i="15" s="1"/>
  <c r="O11" i="15" s="1"/>
  <c r="O10" i="15" s="1"/>
  <c r="O9" i="15" s="1"/>
  <c r="O8" i="15" s="1"/>
  <c r="O7" i="15" s="1"/>
  <c r="O6" i="15" s="1"/>
  <c r="O5" i="15" s="1"/>
  <c r="O4" i="15" s="1"/>
  <c r="K3" i="15" l="1"/>
  <c r="L3" i="15" s="1"/>
  <c r="M3" i="15" s="1"/>
  <c r="N3" i="15" s="1"/>
  <c r="O3" i="15" s="1"/>
  <c r="O20" i="19"/>
  <c r="O19" i="19" s="1"/>
  <c r="O18" i="19" s="1"/>
  <c r="O17" i="19" s="1"/>
  <c r="O16" i="19" s="1"/>
  <c r="O15" i="19" s="1"/>
  <c r="O14" i="19" s="1"/>
  <c r="O13" i="19" s="1"/>
  <c r="O12" i="19" s="1"/>
  <c r="O11" i="19" s="1"/>
  <c r="O10" i="19" s="1"/>
  <c r="O9" i="19" s="1"/>
  <c r="O8" i="19" s="1"/>
  <c r="O7" i="19" s="1"/>
  <c r="O6" i="19" s="1"/>
  <c r="O5" i="19" s="1"/>
  <c r="O4" i="19" s="1"/>
  <c r="O22" i="19"/>
  <c r="O23" i="19" s="1"/>
  <c r="O24" i="19" s="1"/>
  <c r="O25" i="19" s="1"/>
  <c r="O26" i="19" s="1"/>
  <c r="O27" i="19" s="1"/>
  <c r="O28" i="19" s="1"/>
  <c r="O29" i="19" s="1"/>
  <c r="J3" i="20" l="1"/>
  <c r="E16" i="20"/>
  <c r="E16" i="18"/>
  <c r="J3" i="18"/>
  <c r="E16" i="17" l="1"/>
  <c r="E15" i="17" s="1"/>
  <c r="E14" i="17" s="1"/>
  <c r="E13" i="17" s="1"/>
  <c r="E12" i="17" s="1"/>
  <c r="E11" i="17" s="1"/>
  <c r="E10" i="17" s="1"/>
  <c r="E9" i="17" s="1"/>
  <c r="E8" i="17" s="1"/>
  <c r="E7" i="17" s="1"/>
  <c r="E6" i="17" s="1"/>
  <c r="E5" i="17" s="1"/>
  <c r="E4" i="17" s="1"/>
  <c r="J3" i="17"/>
  <c r="I3" i="17" s="1"/>
  <c r="H3" i="17" s="1"/>
  <c r="G3" i="17" s="1"/>
  <c r="F3" i="17" s="1"/>
  <c r="E15" i="20"/>
  <c r="E14" i="20" s="1"/>
  <c r="E13" i="20" s="1"/>
  <c r="E12" i="20" s="1"/>
  <c r="E11" i="20" s="1"/>
  <c r="E10" i="20" s="1"/>
  <c r="E9" i="20" s="1"/>
  <c r="E8" i="20" s="1"/>
  <c r="E7" i="20" s="1"/>
  <c r="E6" i="20" s="1"/>
  <c r="E5" i="20" s="1"/>
  <c r="E4" i="20" s="1"/>
  <c r="E17" i="20"/>
  <c r="E18" i="20" s="1"/>
  <c r="E19" i="20" s="1"/>
  <c r="E20" i="20" s="1"/>
  <c r="E21" i="20" s="1"/>
  <c r="E22" i="20" s="1"/>
  <c r="E23" i="20" s="1"/>
  <c r="E24" i="20" s="1"/>
  <c r="E25" i="20" s="1"/>
  <c r="E26" i="20" s="1"/>
  <c r="E27" i="20" s="1"/>
  <c r="E28" i="20" s="1"/>
  <c r="E29" i="20" s="1"/>
  <c r="I3" i="20"/>
  <c r="H3" i="20" s="1"/>
  <c r="G3" i="20" s="1"/>
  <c r="F3" i="20" s="1"/>
  <c r="K3" i="20"/>
  <c r="L3" i="20" s="1"/>
  <c r="M3" i="20" s="1"/>
  <c r="N3" i="20" s="1"/>
  <c r="O3" i="20" s="1"/>
  <c r="E17" i="18"/>
  <c r="E18" i="18" s="1"/>
  <c r="E19" i="18" s="1"/>
  <c r="E20" i="18" s="1"/>
  <c r="E21" i="18" s="1"/>
  <c r="E22" i="18" s="1"/>
  <c r="E23" i="18" s="1"/>
  <c r="E24" i="18" s="1"/>
  <c r="E25" i="18" s="1"/>
  <c r="E26" i="18" s="1"/>
  <c r="E27" i="18" s="1"/>
  <c r="E28" i="18" s="1"/>
  <c r="E29" i="18" s="1"/>
  <c r="E15" i="18"/>
  <c r="E14" i="18" s="1"/>
  <c r="E13" i="18" s="1"/>
  <c r="E12" i="18" s="1"/>
  <c r="E11" i="18" s="1"/>
  <c r="E10" i="18" s="1"/>
  <c r="E9" i="18" s="1"/>
  <c r="E8" i="18" s="1"/>
  <c r="E7" i="18" s="1"/>
  <c r="E6" i="18" s="1"/>
  <c r="E5" i="18" s="1"/>
  <c r="E4" i="18" s="1"/>
  <c r="I3" i="18"/>
  <c r="H3" i="18" s="1"/>
  <c r="G3" i="18" s="1"/>
  <c r="F3" i="18" s="1"/>
  <c r="K3" i="18"/>
  <c r="L3" i="18" s="1"/>
  <c r="M3" i="18" s="1"/>
  <c r="N3" i="18" s="1"/>
  <c r="O3" i="18" s="1"/>
  <c r="K3" i="17" l="1"/>
  <c r="L3" i="17" s="1"/>
  <c r="M3" i="17" s="1"/>
  <c r="N3" i="17" s="1"/>
  <c r="O3" i="17" s="1"/>
  <c r="E17" i="17"/>
  <c r="E18" i="17" s="1"/>
  <c r="E19" i="17" s="1"/>
  <c r="E20" i="17" s="1"/>
  <c r="E21" i="17" s="1"/>
  <c r="E22" i="17" s="1"/>
  <c r="E23" i="17" s="1"/>
  <c r="E24" i="17" s="1"/>
  <c r="E25" i="17" s="1"/>
  <c r="E26" i="17" s="1"/>
  <c r="E27" i="17" s="1"/>
  <c r="E28" i="17" s="1"/>
  <c r="E29" i="1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00000000-0006-0000-0C00-000001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00000000-0006-0000-0C00-000002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00000000-0006-0000-0C00-000003000000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00000000-0006-0000-0C00-000004000000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00000000-0006-0000-0D00-000001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00000000-0006-0000-0D00-000002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00000000-0006-0000-0D00-000003000000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00000000-0006-0000-0D00-000004000000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00000000-0006-0000-0E00-000001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00000000-0006-0000-0E00-000002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00000000-0006-0000-0E00-000003000000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00000000-0006-0000-0E00-000004000000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00000000-0006-0000-0F00-000001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00000000-0006-0000-0F00-000002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00000000-0006-0000-0F00-000003000000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00000000-0006-0000-0F00-000004000000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Itamar Aparecido de Oliveira</author>
    <author>user</author>
  </authors>
  <commentList>
    <comment ref="A8" authorId="0" shapeId="0" xr:uid="{00000000-0006-0000-1000-000001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do indicador no ano de referência (normalmente a última apuração)</t>
        </r>
      </text>
    </comment>
    <comment ref="A10" authorId="0" shapeId="0" xr:uid="{00000000-0006-0000-1000-000002000000}">
      <text>
        <r>
          <rPr>
            <b/>
            <sz val="9"/>
            <color indexed="81"/>
            <rFont val="Segoe UI"/>
            <family val="2"/>
          </rPr>
          <t>Itamar Aparecido de Oliveira:</t>
        </r>
        <r>
          <rPr>
            <sz val="9"/>
            <color indexed="81"/>
            <rFont val="Segoe UI"/>
            <family val="2"/>
          </rPr>
          <t xml:space="preserve">
Resultado projetado a partir da tendência histórica ou outra métrica</t>
        </r>
      </text>
    </comment>
    <comment ref="A16" authorId="1" shapeId="0" xr:uid="{00000000-0006-0000-1000-000003000000}">
      <text>
        <r>
          <rPr>
            <b/>
            <sz val="9"/>
            <color indexed="81"/>
            <rFont val="Tahoma"/>
            <family val="2"/>
          </rPr>
          <t>deve ser maior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" authorId="1" shapeId="0" xr:uid="{00000000-0006-0000-1000-000004000000}">
      <text>
        <r>
          <rPr>
            <b/>
            <sz val="9"/>
            <color indexed="81"/>
            <rFont val="Tahoma"/>
            <family val="2"/>
          </rPr>
          <t>deve ser menor que a distância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<sst xmlns="http://schemas.openxmlformats.org/spreadsheetml/2006/main" count="312" uniqueCount="102">
  <si>
    <t>AG006</t>
  </si>
  <si>
    <t>IN049</t>
  </si>
  <si>
    <t>IN073</t>
  </si>
  <si>
    <t>IN074</t>
  </si>
  <si>
    <t>IN082</t>
  </si>
  <si>
    <t>IDS</t>
  </si>
  <si>
    <t>QD015</t>
  </si>
  <si>
    <t>QD021</t>
  </si>
  <si>
    <t>QD022</t>
  </si>
  <si>
    <t>QD011</t>
  </si>
  <si>
    <t>Índice de conformidade da qualidade do efluente de ETE</t>
  </si>
  <si>
    <t>Extravasamentos de esgotos por extensão de rede</t>
  </si>
  <si>
    <t>Indicador de Desempenho do SIPSAP</t>
  </si>
  <si>
    <t>OPÇÕES DE METAS PARA O INDICADOR</t>
  </si>
  <si>
    <t>PARÂMETROS DO MENU</t>
  </si>
  <si>
    <t>RESULTADOS OBTIDOS</t>
  </si>
  <si>
    <t>Indicador</t>
  </si>
  <si>
    <t xml:space="preserve">Resultado Inicial </t>
  </si>
  <si>
    <t>Escolha Meta para Final do Ciclo</t>
  </si>
  <si>
    <t>Espaçamento das metas</t>
  </si>
  <si>
    <t>Distância Diagonal</t>
  </si>
  <si>
    <t>Aumento de ganho</t>
  </si>
  <si>
    <t/>
  </si>
  <si>
    <t>Tx. Média (2017-2021)</t>
  </si>
  <si>
    <t>Tx. Mediana (2017-2021)</t>
  </si>
  <si>
    <t>Meta Central</t>
  </si>
  <si>
    <t>Resultado Inicial (x1000)</t>
  </si>
  <si>
    <t>Escolha Meta para Final do Ciclo  (x1000)</t>
  </si>
  <si>
    <t>Critério de melhoria:</t>
  </si>
  <si>
    <t>QUANTO MAIOR MELHOR</t>
  </si>
  <si>
    <t>QUANTO MENOR MELHOR</t>
  </si>
  <si>
    <t>IN49</t>
  </si>
  <si>
    <t xml:space="preserve">Média </t>
  </si>
  <si>
    <t>Desvio Padrão</t>
  </si>
  <si>
    <t>Md+DP</t>
  </si>
  <si>
    <t>Md-DP</t>
  </si>
  <si>
    <t>Redução de ganho</t>
  </si>
  <si>
    <t>Descrição</t>
  </si>
  <si>
    <t>Variável / Indicador</t>
  </si>
  <si>
    <t>Unidade de Medida</t>
  </si>
  <si>
    <t>Cód. SNIS / Interno</t>
  </si>
  <si>
    <t>Variável</t>
  </si>
  <si>
    <t>1.000 m³/ano</t>
  </si>
  <si>
    <t>Percentual</t>
  </si>
  <si>
    <t>Volume de água produzido</t>
  </si>
  <si>
    <t>Volume de água consumido</t>
  </si>
  <si>
    <t>AG010</t>
  </si>
  <si>
    <t>Volume de serviço</t>
  </si>
  <si>
    <t>AG024</t>
  </si>
  <si>
    <t>Índice de perdas na distribuição</t>
  </si>
  <si>
    <t>Quantidade de economias ativas atingidas por interrupções sistemáticas</t>
  </si>
  <si>
    <t>Economias/ano</t>
  </si>
  <si>
    <t>Quantidade de interrupções sistemáticas</t>
  </si>
  <si>
    <t>Interrupções/ano</t>
  </si>
  <si>
    <t>Econ./Interrup.</t>
  </si>
  <si>
    <t>-</t>
  </si>
  <si>
    <t>Duração das interrupções sistemáticas</t>
  </si>
  <si>
    <t>Horas/ano</t>
  </si>
  <si>
    <t>Horas/Interrup.</t>
  </si>
  <si>
    <t>Extensão da rede de esgotos</t>
  </si>
  <si>
    <t>Km</t>
  </si>
  <si>
    <t>ES004</t>
  </si>
  <si>
    <t>Quantidades de extravasamentos de esgotos registrados</t>
  </si>
  <si>
    <t>Extravasamentos/ano</t>
  </si>
  <si>
    <t>Extrav./Km</t>
  </si>
  <si>
    <t>Quantidades de paralisações no sistema de distribuição de água</t>
  </si>
  <si>
    <t>Paralisações/ano</t>
  </si>
  <si>
    <t>QD002</t>
  </si>
  <si>
    <t>Quantidade de economias ativas atingidas por paralisações</t>
  </si>
  <si>
    <t>QD004</t>
  </si>
  <si>
    <t>Economias atingidas por paralisações</t>
  </si>
  <si>
    <t>Econ./Paralis.</t>
  </si>
  <si>
    <t>IN071</t>
  </si>
  <si>
    <t>Duração das paralisações</t>
  </si>
  <si>
    <t>QD003</t>
  </si>
  <si>
    <t>Duração média das paralisações</t>
  </si>
  <si>
    <t>Horas/Paralis.</t>
  </si>
  <si>
    <t>IN072</t>
  </si>
  <si>
    <t>Número absoluto</t>
  </si>
  <si>
    <t>Número de amostras conformes do efluente de ETE</t>
  </si>
  <si>
    <t>Número de amostras realizadas do efluente de ETE</t>
  </si>
  <si>
    <t>Número de serviços solicitados atendidos no prazo</t>
  </si>
  <si>
    <t>Número total de serviços solicitados</t>
  </si>
  <si>
    <t>Variação</t>
  </si>
  <si>
    <t>IN073 (ajustado)</t>
  </si>
  <si>
    <t>Economias atingidas por interrupções sistemáticas</t>
  </si>
  <si>
    <t>Duração média das interrupções sistemáticas</t>
  </si>
  <si>
    <t>IQ02</t>
  </si>
  <si>
    <t>Boxplot com Outliers</t>
  </si>
  <si>
    <t xml:space="preserve">Observações </t>
  </si>
  <si>
    <t xml:space="preserve">Pesos </t>
  </si>
  <si>
    <t>LI</t>
  </si>
  <si>
    <t>LS</t>
  </si>
  <si>
    <t xml:space="preserve">Desvio Padrão </t>
  </si>
  <si>
    <t xml:space="preserve">Mínimo </t>
  </si>
  <si>
    <t xml:space="preserve">Q1 </t>
  </si>
  <si>
    <t xml:space="preserve">Mediana </t>
  </si>
  <si>
    <t xml:space="preserve">Q3 </t>
  </si>
  <si>
    <t>Máximo</t>
  </si>
  <si>
    <t>AIQ</t>
  </si>
  <si>
    <t xml:space="preserve">Limite Inferior </t>
  </si>
  <si>
    <t xml:space="preserve">Limite Superior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</si>
</sst>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_-;\-* #,##0_-;_-* &quot;-&quot;??_-;_-@_-"/>
    <numFmt numFmtId="165" formatCode="h:mm;@"/>
    <numFmt numFmtId="166" formatCode="0.000%"/>
    <numFmt numFmtId="167" formatCode="0.0000"/>
    <numFmt numFmtId="168" formatCode="[h]:mm:ss;@"/>
    <numFmt numFmtId="169" formatCode="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b/>
      <sz val="13"/>
      <color theme="1"/>
      <name val="Tw Cen MT"/>
      <family val="2"/>
    </font>
    <font>
      <sz val="13"/>
      <color theme="1"/>
      <name val="Tw Cen MT"/>
      <family val="2"/>
    </font>
    <font>
      <sz val="13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4">
    <xf numFmtId="0" fontId="0" fillId="0" borderId="0" xfId="0"/>
    <xf numFmtId="0" fontId="0" fillId="2" borderId="0" xfId="0" applyFill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/>
    </xf>
    <xf numFmtId="166" fontId="0" fillId="0" borderId="4" xfId="2" applyNumberFormat="1" applyFont="1" applyBorder="1" applyAlignment="1">
      <alignment horizontal="center"/>
    </xf>
    <xf numFmtId="166" fontId="2" fillId="0" borderId="4" xfId="2" applyNumberFormat="1" applyFont="1" applyBorder="1" applyAlignment="1">
      <alignment horizontal="center"/>
    </xf>
    <xf numFmtId="166" fontId="2" fillId="6" borderId="4" xfId="2" applyNumberFormat="1" applyFont="1" applyFill="1" applyBorder="1" applyAlignment="1">
      <alignment horizontal="center"/>
    </xf>
    <xf numFmtId="166" fontId="2" fillId="4" borderId="4" xfId="2" applyNumberFormat="1" applyFont="1" applyFill="1" applyBorder="1" applyAlignment="1">
      <alignment horizontal="center"/>
    </xf>
    <xf numFmtId="0" fontId="7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0" fillId="0" borderId="4" xfId="0" applyBorder="1"/>
    <xf numFmtId="0" fontId="2" fillId="0" borderId="4" xfId="0" applyFont="1" applyBorder="1" applyAlignment="1">
      <alignment horizontal="center"/>
    </xf>
    <xf numFmtId="0" fontId="0" fillId="0" borderId="0" xfId="0" quotePrefix="1"/>
    <xf numFmtId="165" fontId="2" fillId="6" borderId="4" xfId="0" applyNumberFormat="1" applyFont="1" applyFill="1" applyBorder="1" applyAlignment="1">
      <alignment horizontal="center" vertical="center"/>
    </xf>
    <xf numFmtId="165" fontId="2" fillId="4" borderId="4" xfId="0" applyNumberFormat="1" applyFont="1" applyFill="1" applyBorder="1" applyAlignment="1">
      <alignment horizontal="center" vertical="center"/>
    </xf>
    <xf numFmtId="167" fontId="0" fillId="0" borderId="4" xfId="0" applyNumberFormat="1" applyBorder="1" applyAlignment="1">
      <alignment horizontal="center"/>
    </xf>
    <xf numFmtId="167" fontId="2" fillId="6" borderId="4" xfId="0" applyNumberFormat="1" applyFont="1" applyFill="1" applyBorder="1" applyAlignment="1">
      <alignment horizontal="center"/>
    </xf>
    <xf numFmtId="167" fontId="2" fillId="4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" fontId="0" fillId="0" borderId="4" xfId="0" applyNumberFormat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0" fillId="2" borderId="0" xfId="0" applyFont="1" applyFill="1" applyAlignment="1">
      <alignment horizontal="center" vertical="center"/>
    </xf>
    <xf numFmtId="0" fontId="0" fillId="0" borderId="0" xfId="0" applyAlignment="1">
      <alignment horizont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11" fillId="0" borderId="11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64" fontId="0" fillId="0" borderId="0" xfId="1" applyNumberFormat="1" applyFont="1" applyBorder="1" applyAlignment="1">
      <alignment horizontal="center" vertical="center"/>
    </xf>
    <xf numFmtId="164" fontId="0" fillId="0" borderId="12" xfId="1" applyNumberFormat="1" applyFont="1" applyFill="1" applyBorder="1" applyAlignment="1">
      <alignment horizontal="center" vertical="center"/>
    </xf>
    <xf numFmtId="10" fontId="0" fillId="2" borderId="0" xfId="2" applyNumberFormat="1" applyFont="1" applyFill="1" applyBorder="1" applyAlignment="1">
      <alignment horizontal="center" vertical="center"/>
    </xf>
    <xf numFmtId="10" fontId="0" fillId="2" borderId="12" xfId="2" applyNumberFormat="1" applyFont="1" applyFill="1" applyBorder="1" applyAlignment="1">
      <alignment horizontal="center" vertical="center"/>
    </xf>
    <xf numFmtId="0" fontId="0" fillId="2" borderId="11" xfId="0" applyFill="1" applyBorder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8" borderId="0" xfId="0" applyFill="1" applyAlignment="1">
      <alignment horizontal="center" vertical="center"/>
    </xf>
    <xf numFmtId="43" fontId="0" fillId="2" borderId="0" xfId="1" applyFont="1" applyFill="1" applyBorder="1" applyAlignment="1">
      <alignment horizontal="center" vertical="center"/>
    </xf>
    <xf numFmtId="164" fontId="0" fillId="0" borderId="0" xfId="1" applyNumberFormat="1" applyFont="1" applyFill="1" applyBorder="1" applyAlignment="1">
      <alignment horizontal="center" vertical="center"/>
    </xf>
    <xf numFmtId="164" fontId="0" fillId="0" borderId="12" xfId="1" applyNumberFormat="1" applyFont="1" applyBorder="1" applyAlignment="1">
      <alignment horizontal="center" vertical="center"/>
    </xf>
    <xf numFmtId="164" fontId="0" fillId="2" borderId="0" xfId="1" applyNumberFormat="1" applyFont="1" applyFill="1" applyBorder="1" applyAlignment="1">
      <alignment horizontal="center" vertical="center"/>
    </xf>
    <xf numFmtId="168" fontId="0" fillId="0" borderId="0" xfId="1" applyNumberFormat="1" applyFont="1" applyFill="1" applyBorder="1" applyAlignment="1">
      <alignment horizontal="center" vertical="center"/>
    </xf>
    <xf numFmtId="168" fontId="0" fillId="0" borderId="12" xfId="1" applyNumberFormat="1" applyFont="1" applyFill="1" applyBorder="1" applyAlignment="1">
      <alignment horizontal="center" vertical="center"/>
    </xf>
    <xf numFmtId="168" fontId="0" fillId="0" borderId="0" xfId="0" applyNumberFormat="1"/>
    <xf numFmtId="168" fontId="0" fillId="2" borderId="0" xfId="1" applyNumberFormat="1" applyFont="1" applyFill="1" applyBorder="1" applyAlignment="1">
      <alignment horizontal="center" vertical="center"/>
    </xf>
    <xf numFmtId="164" fontId="0" fillId="5" borderId="12" xfId="1" applyNumberFormat="1" applyFont="1" applyFill="1" applyBorder="1" applyAlignment="1">
      <alignment horizontal="center" vertical="center"/>
    </xf>
    <xf numFmtId="0" fontId="0" fillId="8" borderId="11" xfId="0" applyFill="1" applyBorder="1" applyAlignment="1">
      <alignment vertical="center" wrapText="1"/>
    </xf>
    <xf numFmtId="0" fontId="0" fillId="8" borderId="0" xfId="0" applyFill="1" applyAlignment="1">
      <alignment horizontal="center" vertical="center" wrapText="1"/>
    </xf>
    <xf numFmtId="168" fontId="0" fillId="0" borderId="0" xfId="1" applyNumberFormat="1" applyFont="1" applyBorder="1" applyAlignment="1">
      <alignment horizontal="center" vertical="center"/>
    </xf>
    <xf numFmtId="168" fontId="0" fillId="0" borderId="12" xfId="1" applyNumberFormat="1" applyFont="1" applyBorder="1" applyAlignment="1">
      <alignment horizontal="center" vertical="center"/>
    </xf>
    <xf numFmtId="0" fontId="0" fillId="2" borderId="14" xfId="0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0" fontId="0" fillId="2" borderId="14" xfId="2" applyNumberFormat="1" applyFont="1" applyFill="1" applyBorder="1" applyAlignment="1">
      <alignment horizontal="center" vertical="center"/>
    </xf>
    <xf numFmtId="10" fontId="2" fillId="6" borderId="4" xfId="0" applyNumberFormat="1" applyFont="1" applyFill="1" applyBorder="1" applyAlignment="1">
      <alignment horizontal="center"/>
    </xf>
    <xf numFmtId="10" fontId="0" fillId="0" borderId="0" xfId="0" applyNumberFormat="1"/>
    <xf numFmtId="0" fontId="0" fillId="0" borderId="0" xfId="0" applyAlignment="1">
      <alignment horizontal="right"/>
    </xf>
    <xf numFmtId="10" fontId="2" fillId="2" borderId="4" xfId="2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10" fontId="0" fillId="2" borderId="4" xfId="2" applyNumberFormat="1" applyFont="1" applyFill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/>
    </xf>
    <xf numFmtId="4" fontId="2" fillId="6" borderId="4" xfId="0" applyNumberFormat="1" applyFont="1" applyFill="1" applyBorder="1" applyAlignment="1">
      <alignment horizontal="center"/>
    </xf>
    <xf numFmtId="3" fontId="0" fillId="2" borderId="4" xfId="0" applyNumberFormat="1" applyFill="1" applyBorder="1" applyAlignment="1">
      <alignment horizontal="center"/>
    </xf>
    <xf numFmtId="167" fontId="2" fillId="0" borderId="4" xfId="0" applyNumberFormat="1" applyFont="1" applyBorder="1" applyAlignment="1">
      <alignment horizontal="center"/>
    </xf>
    <xf numFmtId="168" fontId="0" fillId="0" borderId="4" xfId="1" applyNumberFormat="1" applyFont="1" applyFill="1" applyBorder="1" applyAlignment="1">
      <alignment horizontal="center" vertical="center"/>
    </xf>
    <xf numFmtId="168" fontId="0" fillId="2" borderId="4" xfId="1" applyNumberFormat="1" applyFont="1" applyFill="1" applyBorder="1" applyAlignment="1">
      <alignment horizontal="center" vertical="center"/>
    </xf>
    <xf numFmtId="3" fontId="0" fillId="3" borderId="4" xfId="0" applyNumberFormat="1" applyFill="1" applyBorder="1" applyAlignment="1">
      <alignment horizontal="center"/>
    </xf>
    <xf numFmtId="169" fontId="2" fillId="2" borderId="4" xfId="2" applyNumberFormat="1" applyFont="1" applyFill="1" applyBorder="1" applyAlignment="1">
      <alignment horizontal="center" vertical="center"/>
    </xf>
    <xf numFmtId="10" fontId="2" fillId="4" borderId="4" xfId="0" applyNumberFormat="1" applyFont="1" applyFill="1" applyBorder="1" applyAlignment="1">
      <alignment horizontal="center"/>
    </xf>
    <xf numFmtId="1" fontId="2" fillId="6" borderId="4" xfId="0" applyNumberFormat="1" applyFont="1" applyFill="1" applyBorder="1" applyAlignment="1">
      <alignment horizontal="center"/>
    </xf>
    <xf numFmtId="1" fontId="2" fillId="4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1" fontId="0" fillId="3" borderId="4" xfId="0" applyNumberFormat="1" applyFill="1" applyBorder="1" applyAlignment="1">
      <alignment horizontal="center"/>
    </xf>
    <xf numFmtId="168" fontId="0" fillId="3" borderId="4" xfId="1" applyNumberFormat="1" applyFont="1" applyFill="1" applyBorder="1" applyAlignment="1">
      <alignment horizontal="center" vertical="center"/>
    </xf>
    <xf numFmtId="10" fontId="2" fillId="9" borderId="4" xfId="2" applyNumberFormat="1" applyFont="1" applyFill="1" applyBorder="1" applyAlignment="1">
      <alignment horizontal="center" vertical="center"/>
    </xf>
    <xf numFmtId="169" fontId="2" fillId="6" borderId="4" xfId="0" applyNumberFormat="1" applyFont="1" applyFill="1" applyBorder="1" applyAlignment="1">
      <alignment horizontal="center"/>
    </xf>
    <xf numFmtId="10" fontId="12" fillId="0" borderId="0" xfId="0" applyNumberFormat="1" applyFont="1"/>
    <xf numFmtId="166" fontId="0" fillId="9" borderId="4" xfId="0" applyNumberFormat="1" applyFill="1" applyBorder="1" applyAlignment="1">
      <alignment horizontal="center"/>
    </xf>
    <xf numFmtId="166" fontId="0" fillId="0" borderId="4" xfId="0" applyNumberFormat="1" applyBorder="1" applyAlignment="1">
      <alignment horizontal="center"/>
    </xf>
    <xf numFmtId="166" fontId="2" fillId="0" borderId="4" xfId="0" applyNumberFormat="1" applyFont="1" applyBorder="1" applyAlignment="1">
      <alignment horizontal="center"/>
    </xf>
    <xf numFmtId="2" fontId="0" fillId="0" borderId="0" xfId="0" applyNumberFormat="1"/>
    <xf numFmtId="0" fontId="12" fillId="0" borderId="0" xfId="0" applyFont="1" applyAlignment="1">
      <alignment horizontal="center"/>
    </xf>
    <xf numFmtId="164" fontId="0" fillId="10" borderId="12" xfId="1" applyNumberFormat="1" applyFont="1" applyFill="1" applyBorder="1" applyAlignment="1">
      <alignment horizontal="center" vertical="center"/>
    </xf>
    <xf numFmtId="168" fontId="0" fillId="10" borderId="12" xfId="1" applyNumberFormat="1" applyFont="1" applyFill="1" applyBorder="1" applyAlignment="1">
      <alignment horizontal="center" vertical="center"/>
    </xf>
    <xf numFmtId="43" fontId="0" fillId="10" borderId="12" xfId="1" applyFont="1" applyFill="1" applyBorder="1" applyAlignment="1">
      <alignment horizontal="center" vertical="center"/>
    </xf>
    <xf numFmtId="0" fontId="0" fillId="10" borderId="11" xfId="0" applyFill="1" applyBorder="1" applyAlignment="1">
      <alignment vertical="center" wrapText="1"/>
    </xf>
    <xf numFmtId="0" fontId="0" fillId="10" borderId="13" xfId="0" applyFill="1" applyBorder="1" applyAlignment="1">
      <alignment vertical="center" wrapText="1"/>
    </xf>
    <xf numFmtId="168" fontId="0" fillId="11" borderId="12" xfId="1" applyNumberFormat="1" applyFont="1" applyFill="1" applyBorder="1" applyAlignment="1">
      <alignment horizontal="center" vertical="center"/>
    </xf>
    <xf numFmtId="43" fontId="0" fillId="11" borderId="12" xfId="1" applyFont="1" applyFill="1" applyBorder="1" applyAlignment="1">
      <alignment horizontal="center" vertical="center"/>
    </xf>
    <xf numFmtId="10" fontId="0" fillId="11" borderId="12" xfId="2" applyNumberFormat="1" applyFont="1" applyFill="1" applyBorder="1" applyAlignment="1">
      <alignment horizontal="center" vertical="center"/>
    </xf>
    <xf numFmtId="10" fontId="0" fillId="11" borderId="15" xfId="2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4" xfId="2" applyNumberFormat="1" applyFont="1" applyBorder="1" applyAlignment="1">
      <alignment horizontal="center" vertical="center"/>
    </xf>
    <xf numFmtId="10" fontId="0" fillId="0" borderId="4" xfId="2" applyNumberFormat="1" applyFont="1" applyBorder="1" applyAlignment="1">
      <alignment horizontal="center"/>
    </xf>
    <xf numFmtId="10" fontId="0" fillId="0" borderId="4" xfId="0" applyNumberFormat="1" applyBorder="1"/>
    <xf numFmtId="10" fontId="0" fillId="0" borderId="4" xfId="2" applyNumberFormat="1" applyFont="1" applyBorder="1"/>
    <xf numFmtId="0" fontId="0" fillId="0" borderId="5" xfId="0" applyBorder="1"/>
    <xf numFmtId="10" fontId="0" fillId="0" borderId="5" xfId="0" applyNumberFormat="1" applyBorder="1"/>
    <xf numFmtId="0" fontId="10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0" fillId="2" borderId="0" xfId="0" applyFont="1" applyFill="1" applyAlignment="1">
      <alignment horizontal="center" vertical="center" wrapText="1"/>
    </xf>
    <xf numFmtId="0" fontId="2" fillId="6" borderId="4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66" fontId="5" fillId="8" borderId="0" xfId="2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2" fillId="5" borderId="5" xfId="0" applyFont="1" applyFill="1" applyBorder="1" applyAlignment="1">
      <alignment horizontal="center" vertical="center" textRotation="90"/>
    </xf>
    <xf numFmtId="0" fontId="2" fillId="5" borderId="6" xfId="0" applyFont="1" applyFill="1" applyBorder="1" applyAlignment="1">
      <alignment horizontal="center" vertical="center" textRotation="90"/>
    </xf>
    <xf numFmtId="0" fontId="2" fillId="5" borderId="7" xfId="0" applyFont="1" applyFill="1" applyBorder="1" applyAlignment="1">
      <alignment horizontal="center" vertical="center" textRotation="90"/>
    </xf>
    <xf numFmtId="0" fontId="5" fillId="6" borderId="0" xfId="0" applyFont="1" applyFill="1" applyAlignment="1">
      <alignment horizontal="center"/>
    </xf>
    <xf numFmtId="10" fontId="5" fillId="0" borderId="0" xfId="0" applyNumberFormat="1" applyFont="1" applyAlignment="1">
      <alignment horizontal="center"/>
    </xf>
    <xf numFmtId="10" fontId="5" fillId="8" borderId="0" xfId="2" applyNumberFormat="1" applyFont="1" applyFill="1" applyBorder="1" applyAlignment="1">
      <alignment horizontal="center"/>
    </xf>
    <xf numFmtId="0" fontId="5" fillId="6" borderId="0" xfId="0" quotePrefix="1" applyFont="1" applyFill="1" applyAlignment="1">
      <alignment horizontal="center"/>
    </xf>
    <xf numFmtId="1" fontId="5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 vertical="center"/>
    </xf>
    <xf numFmtId="167" fontId="5" fillId="0" borderId="0" xfId="0" applyNumberFormat="1" applyFont="1" applyAlignment="1">
      <alignment horizontal="center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36" Type="http://schemas.microsoft.com/office/2017/10/relationships/person" Target="persons/person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Boxplot</a:t>
            </a:r>
            <a:r>
              <a:rPr lang="pt-BR" baseline="0"/>
              <a:t> com Outliers</a:t>
            </a:r>
            <a:endParaRPr lang="pt-B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IDS!$I$11</c:f>
              <c:strCache>
                <c:ptCount val="1"/>
                <c:pt idx="0">
                  <c:v>Observações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F6D-4DF4-90D0-86E18905E548}"/>
                </c:ext>
              </c:extLst>
            </c:dLbl>
            <c:dLbl>
              <c:idx val="8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0F6D-4DF4-90D0-86E18905E548}"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0F6D-4DF4-90D0-86E18905E5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IDS!$I$12:$I$21</c:f>
              <c:numCache>
                <c:formatCode>0.00%</c:formatCode>
                <c:ptCount val="10"/>
                <c:pt idx="0">
                  <c:v>0.90066780225310672</c:v>
                </c:pt>
                <c:pt idx="1">
                  <c:v>0.87580261458862962</c:v>
                </c:pt>
                <c:pt idx="2">
                  <c:v>0.84675410463836098</c:v>
                </c:pt>
                <c:pt idx="3">
                  <c:v>0.850993692585855</c:v>
                </c:pt>
                <c:pt idx="4">
                  <c:v>0.88523567792558422</c:v>
                </c:pt>
                <c:pt idx="5">
                  <c:v>0.88206829768448636</c:v>
                </c:pt>
                <c:pt idx="6">
                  <c:v>0.88252915518114106</c:v>
                </c:pt>
                <c:pt idx="7">
                  <c:v>0.86946570250367072</c:v>
                </c:pt>
                <c:pt idx="8">
                  <c:v>0.81605271685132375</c:v>
                </c:pt>
                <c:pt idx="9">
                  <c:v>0.83114387790147348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24-49EE-88F9-4A826878D9C6}"/>
            </c:ext>
          </c:extLst>
        </c:ser>
        <c:ser>
          <c:idx val="1"/>
          <c:order val="1"/>
          <c:tx>
            <c:strRef>
              <c:f>IDS!$K$11</c:f>
              <c:strCache>
                <c:ptCount val="1"/>
                <c:pt idx="0">
                  <c:v>Média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delete val="1"/>
          </c:dLbls>
          <c:val>
            <c:numRef>
              <c:f>IDS!$K$12:$K$21</c:f>
              <c:numCache>
                <c:formatCode>0.00%</c:formatCode>
                <c:ptCount val="10"/>
                <c:pt idx="0">
                  <c:v>0.8640713642113631</c:v>
                </c:pt>
                <c:pt idx="1">
                  <c:v>0.8640713642113631</c:v>
                </c:pt>
                <c:pt idx="2">
                  <c:v>0.8640713642113631</c:v>
                </c:pt>
                <c:pt idx="3">
                  <c:v>0.8640713642113631</c:v>
                </c:pt>
                <c:pt idx="4">
                  <c:v>0.8640713642113631</c:v>
                </c:pt>
                <c:pt idx="5">
                  <c:v>0.8640713642113631</c:v>
                </c:pt>
                <c:pt idx="6">
                  <c:v>0.8640713642113631</c:v>
                </c:pt>
                <c:pt idx="7">
                  <c:v>0.8640713642113631</c:v>
                </c:pt>
                <c:pt idx="8">
                  <c:v>0.8640713642113631</c:v>
                </c:pt>
                <c:pt idx="9">
                  <c:v>0.8640713642113631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424-49EE-88F9-4A826878D9C6}"/>
            </c:ext>
          </c:extLst>
        </c:ser>
        <c:ser>
          <c:idx val="2"/>
          <c:order val="2"/>
          <c:tx>
            <c:strRef>
              <c:f>IDS!$L$11</c:f>
              <c:strCache>
                <c:ptCount val="1"/>
                <c:pt idx="0">
                  <c:v>LI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424-49EE-88F9-4A826878D9C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424-49EE-88F9-4A826878D9C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424-49EE-88F9-4A826878D9C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424-49EE-88F9-4A826878D9C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424-49EE-88F9-4A826878D9C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424-49EE-88F9-4A826878D9C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B424-49EE-88F9-4A826878D9C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424-49EE-88F9-4A826878D9C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424-49EE-88F9-4A826878D9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IDS!$L$12:$L$21</c:f>
              <c:numCache>
                <c:formatCode>0.00%</c:formatCode>
                <c:ptCount val="10"/>
                <c:pt idx="0">
                  <c:v>0.80472777493210579</c:v>
                </c:pt>
                <c:pt idx="1">
                  <c:v>0.80472777493210579</c:v>
                </c:pt>
                <c:pt idx="2">
                  <c:v>0.80472777493210579</c:v>
                </c:pt>
                <c:pt idx="3">
                  <c:v>0.80472777493210579</c:v>
                </c:pt>
                <c:pt idx="4">
                  <c:v>0.80472777493210579</c:v>
                </c:pt>
                <c:pt idx="5">
                  <c:v>0.80472777493210579</c:v>
                </c:pt>
                <c:pt idx="6">
                  <c:v>0.80472777493210579</c:v>
                </c:pt>
                <c:pt idx="7">
                  <c:v>0.80472777493210579</c:v>
                </c:pt>
                <c:pt idx="8">
                  <c:v>0.80472777493210579</c:v>
                </c:pt>
                <c:pt idx="9">
                  <c:v>0.80472777493210579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424-49EE-88F9-4A826878D9C6}"/>
            </c:ext>
          </c:extLst>
        </c:ser>
        <c:ser>
          <c:idx val="3"/>
          <c:order val="3"/>
          <c:tx>
            <c:strRef>
              <c:f>IDS!$M$11</c:f>
              <c:strCache>
                <c:ptCount val="1"/>
                <c:pt idx="0">
                  <c:v>LS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4-49EE-88F9-4A826878D9C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424-49EE-88F9-4A826878D9C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24-49EE-88F9-4A826878D9C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424-49EE-88F9-4A826878D9C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424-49EE-88F9-4A826878D9C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424-49EE-88F9-4A826878D9C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424-49EE-88F9-4A826878D9C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424-49EE-88F9-4A826878D9C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424-49EE-88F9-4A826878D9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IDS!$M$12:$M$21</c:f>
              <c:numCache>
                <c:formatCode>0.00%</c:formatCode>
                <c:ptCount val="10"/>
                <c:pt idx="0">
                  <c:v>0.92341495349062042</c:v>
                </c:pt>
                <c:pt idx="1">
                  <c:v>0.92341495349062042</c:v>
                </c:pt>
                <c:pt idx="2">
                  <c:v>0.92341495349062042</c:v>
                </c:pt>
                <c:pt idx="3">
                  <c:v>0.92341495349062042</c:v>
                </c:pt>
                <c:pt idx="4">
                  <c:v>0.92341495349062042</c:v>
                </c:pt>
                <c:pt idx="5">
                  <c:v>0.92341495349062042</c:v>
                </c:pt>
                <c:pt idx="6">
                  <c:v>0.92341495349062042</c:v>
                </c:pt>
                <c:pt idx="7">
                  <c:v>0.92341495349062042</c:v>
                </c:pt>
                <c:pt idx="8">
                  <c:v>0.92341495349062042</c:v>
                </c:pt>
                <c:pt idx="9">
                  <c:v>0.92341495349062042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24-49EE-88F9-4A826878D9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145124736"/>
        <c:axId val="145130624"/>
      </c:lineChart>
      <c:catAx>
        <c:axId val="14512473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5130624"/>
        <c:crosses val="autoZero"/>
        <c:auto val="1"/>
        <c:lblAlgn val="ctr"/>
        <c:lblOffset val="100"/>
        <c:noMultiLvlLbl val="0"/>
      </c:catAx>
      <c:valAx>
        <c:axId val="145130624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5124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AA-45AD-AE4A-9E345B5C7FF6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AA-45AD-AE4A-9E345B5C7FF6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0AA-45AD-AE4A-9E345B5C7F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197120"/>
        <c:axId val="146207104"/>
      </c:lineChart>
      <c:catAx>
        <c:axId val="14619712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6207104"/>
        <c:crosses val="autoZero"/>
        <c:auto val="1"/>
        <c:lblAlgn val="ctr"/>
        <c:lblOffset val="100"/>
        <c:noMultiLvlLbl val="0"/>
      </c:catAx>
      <c:valAx>
        <c:axId val="146207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6197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91-40E4-9628-740D94EC49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596800"/>
        <c:axId val="145598336"/>
      </c:lineChart>
      <c:catAx>
        <c:axId val="14559680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5598336"/>
        <c:crosses val="autoZero"/>
        <c:auto val="1"/>
        <c:lblAlgn val="ctr"/>
        <c:lblOffset val="100"/>
        <c:noMultiLvlLbl val="0"/>
      </c:catAx>
      <c:valAx>
        <c:axId val="145598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5596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49-4A02-AB7E-4707B1044C16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49-4A02-AB7E-4707B1044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435456"/>
        <c:axId val="146437248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1749-4A02-AB7E-4707B1044C16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1749-4A02-AB7E-4707B1044C16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749-4A02-AB7E-4707B1044C16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1749-4A02-AB7E-4707B1044C16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1749-4A02-AB7E-4707B1044C16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1749-4A02-AB7E-4707B1044C16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1749-4A02-AB7E-4707B1044C16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1749-4A02-AB7E-4707B1044C16}"/>
                  </c:ext>
                </c:extLst>
              </c15:ser>
            </c15:filteredLineSeries>
          </c:ext>
        </c:extLst>
      </c:lineChart>
      <c:catAx>
        <c:axId val="14643545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6437248"/>
        <c:crosses val="autoZero"/>
        <c:auto val="1"/>
        <c:lblAlgn val="ctr"/>
        <c:lblOffset val="100"/>
        <c:noMultiLvlLbl val="0"/>
      </c:catAx>
      <c:valAx>
        <c:axId val="146437248"/>
        <c:scaling>
          <c:orientation val="minMax"/>
          <c:max val="6.1500000000000027E-3"/>
          <c:min val="-6.8500000000000028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64354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A-485D-AFCA-3344E4387786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3A-485D-AFCA-3344E4387786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3A-485D-AFCA-3344E4387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272832"/>
        <c:axId val="147274368"/>
      </c:lineChart>
      <c:catAx>
        <c:axId val="14727283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7274368"/>
        <c:crosses val="autoZero"/>
        <c:auto val="1"/>
        <c:lblAlgn val="ctr"/>
        <c:lblOffset val="100"/>
        <c:noMultiLvlLbl val="0"/>
      </c:catAx>
      <c:valAx>
        <c:axId val="147274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7272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2D-4CBA-9508-5B3384AB7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401344"/>
        <c:axId val="147403136"/>
      </c:lineChart>
      <c:catAx>
        <c:axId val="147401344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7403136"/>
        <c:crosses val="autoZero"/>
        <c:auto val="1"/>
        <c:lblAlgn val="ctr"/>
        <c:lblOffset val="100"/>
        <c:noMultiLvlLbl val="0"/>
      </c:catAx>
      <c:valAx>
        <c:axId val="1474031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740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941-45BA-B032-98A13FE932DB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941-45BA-B032-98A13FE932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432960"/>
        <c:axId val="14743449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5941-45BA-B032-98A13FE932DB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941-45BA-B032-98A13FE932DB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941-45BA-B032-98A13FE932DB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941-45BA-B032-98A13FE932DB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5941-45BA-B032-98A13FE932DB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5941-45BA-B032-98A13FE932DB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5941-45BA-B032-98A13FE932DB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941-45BA-B032-98A13FE932DB}"/>
                  </c:ext>
                </c:extLst>
              </c15:ser>
            </c15:filteredLineSeries>
          </c:ext>
        </c:extLst>
      </c:lineChart>
      <c:catAx>
        <c:axId val="14743296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7434496"/>
        <c:crosses val="autoZero"/>
        <c:auto val="1"/>
        <c:lblAlgn val="ctr"/>
        <c:lblOffset val="100"/>
        <c:noMultiLvlLbl val="0"/>
      </c:catAx>
      <c:valAx>
        <c:axId val="147434496"/>
        <c:scaling>
          <c:orientation val="minMax"/>
          <c:max val="6.1500000000000027E-3"/>
          <c:min val="-6.8500000000000028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74329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596-4D4A-974E-8E895B91CB44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596-4D4A-974E-8E895B91CB44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596-4D4A-974E-8E895B91CB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212736"/>
        <c:axId val="148222720"/>
      </c:lineChart>
      <c:catAx>
        <c:axId val="14821273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222720"/>
        <c:crosses val="autoZero"/>
        <c:auto val="1"/>
        <c:lblAlgn val="ctr"/>
        <c:lblOffset val="100"/>
        <c:noMultiLvlLbl val="0"/>
      </c:catAx>
      <c:valAx>
        <c:axId val="1482227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212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04-4F9B-99E7-B8AB595E19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655104"/>
        <c:axId val="144656640"/>
      </c:lineChart>
      <c:catAx>
        <c:axId val="144655104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4656640"/>
        <c:crosses val="autoZero"/>
        <c:auto val="1"/>
        <c:lblAlgn val="ctr"/>
        <c:lblOffset val="100"/>
        <c:noMultiLvlLbl val="0"/>
      </c:catAx>
      <c:valAx>
        <c:axId val="1446566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4655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74-466F-915C-AFF691585D9C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74-466F-915C-AFF691585D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254720"/>
        <c:axId val="148256256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A074-466F-915C-AFF691585D9C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A074-466F-915C-AFF691585D9C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A074-466F-915C-AFF691585D9C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A074-466F-915C-AFF691585D9C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A074-466F-915C-AFF691585D9C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A074-466F-915C-AFF691585D9C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A074-466F-915C-AFF691585D9C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A074-466F-915C-AFF691585D9C}"/>
                  </c:ext>
                </c:extLst>
              </c15:ser>
            </c15:filteredLineSeries>
          </c:ext>
        </c:extLst>
      </c:lineChart>
      <c:catAx>
        <c:axId val="14825472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256256"/>
        <c:crosses val="autoZero"/>
        <c:auto val="1"/>
        <c:lblAlgn val="ctr"/>
        <c:lblOffset val="100"/>
        <c:noMultiLvlLbl val="0"/>
      </c:catAx>
      <c:valAx>
        <c:axId val="148256256"/>
        <c:scaling>
          <c:orientation val="minMax"/>
          <c:max val="6.1500000000000027E-3"/>
          <c:min val="-6.8500000000000028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254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A3-47D7-AE84-2398B334D7B7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A3-47D7-AE84-2398B334D7B7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A3-47D7-AE84-2398B334D7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698624"/>
        <c:axId val="148700160"/>
      </c:lineChart>
      <c:catAx>
        <c:axId val="148698624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700160"/>
        <c:crosses val="autoZero"/>
        <c:auto val="1"/>
        <c:lblAlgn val="ctr"/>
        <c:lblOffset val="100"/>
        <c:noMultiLvlLbl val="0"/>
      </c:catAx>
      <c:valAx>
        <c:axId val="148700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6986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56-4CAF-BB26-25DA9717DA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212160"/>
        <c:axId val="149226240"/>
      </c:lineChart>
      <c:catAx>
        <c:axId val="14921216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9226240"/>
        <c:crosses val="autoZero"/>
        <c:auto val="1"/>
        <c:lblAlgn val="ctr"/>
        <c:lblOffset val="100"/>
        <c:noMultiLvlLbl val="0"/>
      </c:catAx>
      <c:valAx>
        <c:axId val="1492262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92121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A6-46A7-BE45-4793CD23D0E9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A6-46A7-BE45-4793CD23D0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252352"/>
        <c:axId val="149258240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25A6-46A7-BE45-4793CD23D0E9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5A6-46A7-BE45-4793CD23D0E9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25A6-46A7-BE45-4793CD23D0E9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25A6-46A7-BE45-4793CD23D0E9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25A6-46A7-BE45-4793CD23D0E9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25A6-46A7-BE45-4793CD23D0E9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25A6-46A7-BE45-4793CD23D0E9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25A6-46A7-BE45-4793CD23D0E9}"/>
                  </c:ext>
                </c:extLst>
              </c15:ser>
            </c15:filteredLineSeries>
          </c:ext>
        </c:extLst>
      </c:lineChart>
      <c:catAx>
        <c:axId val="14925235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9258240"/>
        <c:crosses val="autoZero"/>
        <c:auto val="1"/>
        <c:lblAlgn val="ctr"/>
        <c:lblOffset val="100"/>
        <c:noMultiLvlLbl val="0"/>
      </c:catAx>
      <c:valAx>
        <c:axId val="149258240"/>
        <c:scaling>
          <c:orientation val="minMax"/>
          <c:max val="6.1500000000000027E-3"/>
          <c:min val="-6.8500000000000028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9252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Comportamento</a:t>
            </a:r>
            <a:r>
              <a:rPr lang="pt-BR" sz="2000" baseline="0">
                <a:latin typeface="Tw Cen MT" panose="020B0602020104020603" pitchFamily="34" charset="0"/>
              </a:rPr>
              <a:t> das linhas</a:t>
            </a:r>
            <a:endParaRPr lang="pt-BR" sz="2000">
              <a:latin typeface="Tw Cen MT" panose="020B0602020104020603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[1]Menu!$E$15:$N$15</c:f>
              <c:numCache>
                <c:formatCode>General</c:formatCode>
                <c:ptCount val="10"/>
                <c:pt idx="0">
                  <c:v>-6.500000000000003E-4</c:v>
                </c:pt>
                <c:pt idx="1">
                  <c:v>-6.0000000000000016E-4</c:v>
                </c:pt>
                <c:pt idx="2">
                  <c:v>-5.5000000000000003E-4</c:v>
                </c:pt>
                <c:pt idx="3">
                  <c:v>-5.0000000000000001E-4</c:v>
                </c:pt>
                <c:pt idx="4">
                  <c:v>-5.5000000000000003E-4</c:v>
                </c:pt>
                <c:pt idx="5">
                  <c:v>-6.0000000000000006E-4</c:v>
                </c:pt>
                <c:pt idx="6">
                  <c:v>-6.5000000000000008E-4</c:v>
                </c:pt>
                <c:pt idx="7">
                  <c:v>-7.000000000000001E-4</c:v>
                </c:pt>
                <c:pt idx="8">
                  <c:v>-7.5000000000000023E-4</c:v>
                </c:pt>
                <c:pt idx="9">
                  <c:v>-8.0000000000000036E-4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54-4AAE-BF01-D40A3A123015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[1]Menu!$E$16:$N$16</c:f>
              <c:numCache>
                <c:formatCode>General</c:formatCode>
                <c:ptCount val="10"/>
                <c:pt idx="0">
                  <c:v>-2.0000000000000031E-4</c:v>
                </c:pt>
                <c:pt idx="1">
                  <c:v>-1.5000000000000018E-4</c:v>
                </c:pt>
                <c:pt idx="2">
                  <c:v>-1.0000000000000005E-4</c:v>
                </c:pt>
                <c:pt idx="3">
                  <c:v>-5.0000000000000023E-5</c:v>
                </c:pt>
                <c:pt idx="4">
                  <c:v>0</c:v>
                </c:pt>
                <c:pt idx="5">
                  <c:v>-5.0000000000000023E-5</c:v>
                </c:pt>
                <c:pt idx="6">
                  <c:v>-1.0000000000000005E-4</c:v>
                </c:pt>
                <c:pt idx="7">
                  <c:v>-1.5000000000000007E-4</c:v>
                </c:pt>
                <c:pt idx="8">
                  <c:v>-2.000000000000002E-4</c:v>
                </c:pt>
                <c:pt idx="9">
                  <c:v>-2.5000000000000033E-4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54-4AAE-BF01-D40A3A123015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[1]Menu!$E$17:$N$17</c:f>
              <c:numCache>
                <c:formatCode>General</c:formatCode>
                <c:ptCount val="10"/>
                <c:pt idx="0">
                  <c:v>2.4999999999999968E-4</c:v>
                </c:pt>
                <c:pt idx="1">
                  <c:v>2.9999999999999981E-4</c:v>
                </c:pt>
                <c:pt idx="2">
                  <c:v>3.4999999999999994E-4</c:v>
                </c:pt>
                <c:pt idx="3">
                  <c:v>3.9999999999999996E-4</c:v>
                </c:pt>
                <c:pt idx="4">
                  <c:v>4.4999999999999999E-4</c:v>
                </c:pt>
                <c:pt idx="5">
                  <c:v>5.0000000000000001E-4</c:v>
                </c:pt>
                <c:pt idx="6">
                  <c:v>4.4999999999999999E-4</c:v>
                </c:pt>
                <c:pt idx="7">
                  <c:v>3.9999999999999996E-4</c:v>
                </c:pt>
                <c:pt idx="8">
                  <c:v>3.4999999999999983E-4</c:v>
                </c:pt>
                <c:pt idx="9">
                  <c:v>2.999999999999997E-4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54-4AAE-BF01-D40A3A1230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843968"/>
        <c:axId val="149845504"/>
      </c:lineChart>
      <c:catAx>
        <c:axId val="14984396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9845504"/>
        <c:crosses val="autoZero"/>
        <c:auto val="1"/>
        <c:lblAlgn val="ctr"/>
        <c:lblOffset val="100"/>
        <c:noMultiLvlLbl val="0"/>
      </c:catAx>
      <c:valAx>
        <c:axId val="149845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98439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Metas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[1]Menu!$E$3:$N$3</c:f>
              <c:numCache>
                <c:formatCode>General</c:formatCode>
                <c:ptCount val="10"/>
                <c:pt idx="0">
                  <c:v>83.848446340893119</c:v>
                </c:pt>
                <c:pt idx="1">
                  <c:v>84.268172643117381</c:v>
                </c:pt>
                <c:pt idx="2">
                  <c:v>84.689999999999984</c:v>
                </c:pt>
                <c:pt idx="3">
                  <c:v>85.113938928943938</c:v>
                </c:pt>
                <c:pt idx="4">
                  <c:v>85.54</c:v>
                </c:pt>
                <c:pt idx="5">
                  <c:v>85.968193836130197</c:v>
                </c:pt>
                <c:pt idx="6">
                  <c:v>86.398531113472686</c:v>
                </c:pt>
                <c:pt idx="7">
                  <c:v>86.831022561607966</c:v>
                </c:pt>
                <c:pt idx="8">
                  <c:v>87.265678963826375</c:v>
                </c:pt>
                <c:pt idx="9">
                  <c:v>87.702511157396941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F1-47BD-B4DC-B193BAC904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214144"/>
        <c:axId val="150215680"/>
      </c:lineChart>
      <c:catAx>
        <c:axId val="150214144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0215680"/>
        <c:crosses val="autoZero"/>
        <c:auto val="1"/>
        <c:lblAlgn val="ctr"/>
        <c:lblOffset val="100"/>
        <c:noMultiLvlLbl val="0"/>
      </c:catAx>
      <c:valAx>
        <c:axId val="150215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0214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w Cen MT" panose="020B0602020104020603" pitchFamily="34" charset="0"/>
                <a:ea typeface="+mn-ea"/>
                <a:cs typeface="+mn-cs"/>
              </a:defRPr>
            </a:pPr>
            <a:r>
              <a:rPr lang="pt-BR" sz="2000">
                <a:latin typeface="Tw Cen MT" panose="020B0602020104020603" pitchFamily="34" charset="0"/>
              </a:rPr>
              <a:t>Padrão das Colunas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[1]Menu!$E$4:$E$29</c:f>
              <c:numCache>
                <c:formatCode>General</c:formatCode>
                <c:ptCount val="26"/>
                <c:pt idx="0">
                  <c:v>-6.4000000000000012E-3</c:v>
                </c:pt>
                <c:pt idx="1">
                  <c:v>-5.850000000000001E-3</c:v>
                </c:pt>
                <c:pt idx="2">
                  <c:v>-5.3000000000000009E-3</c:v>
                </c:pt>
                <c:pt idx="3">
                  <c:v>-4.7500000000000007E-3</c:v>
                </c:pt>
                <c:pt idx="4">
                  <c:v>-4.2000000000000006E-3</c:v>
                </c:pt>
                <c:pt idx="5">
                  <c:v>-3.6500000000000005E-3</c:v>
                </c:pt>
                <c:pt idx="6">
                  <c:v>-3.1000000000000003E-3</c:v>
                </c:pt>
                <c:pt idx="7">
                  <c:v>-2.5500000000000002E-3</c:v>
                </c:pt>
                <c:pt idx="8">
                  <c:v>-2E-3</c:v>
                </c:pt>
                <c:pt idx="9">
                  <c:v>-1.5500000000000002E-3</c:v>
                </c:pt>
                <c:pt idx="10">
                  <c:v>-1.1000000000000003E-3</c:v>
                </c:pt>
                <c:pt idx="11">
                  <c:v>-6.500000000000003E-4</c:v>
                </c:pt>
                <c:pt idx="12">
                  <c:v>-2.0000000000000031E-4</c:v>
                </c:pt>
                <c:pt idx="13">
                  <c:v>2.4999999999999968E-4</c:v>
                </c:pt>
                <c:pt idx="14">
                  <c:v>6.9999999999999967E-4</c:v>
                </c:pt>
                <c:pt idx="15">
                  <c:v>1.1499999999999995E-3</c:v>
                </c:pt>
                <c:pt idx="16">
                  <c:v>1.5999999999999994E-3</c:v>
                </c:pt>
                <c:pt idx="17">
                  <c:v>2.0499999999999993E-3</c:v>
                </c:pt>
                <c:pt idx="18">
                  <c:v>2.4999999999999992E-3</c:v>
                </c:pt>
                <c:pt idx="19">
                  <c:v>2.9499999999999991E-3</c:v>
                </c:pt>
                <c:pt idx="20">
                  <c:v>3.3999999999999989E-3</c:v>
                </c:pt>
                <c:pt idx="21">
                  <c:v>3.8499999999999988E-3</c:v>
                </c:pt>
                <c:pt idx="22">
                  <c:v>4.2999999999999991E-3</c:v>
                </c:pt>
                <c:pt idx="23">
                  <c:v>4.749999999999999E-3</c:v>
                </c:pt>
                <c:pt idx="24">
                  <c:v>5.1999999999999989E-3</c:v>
                </c:pt>
                <c:pt idx="25">
                  <c:v>5.6499999999999988E-3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89-4440-8416-FFA75C1142ED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[1]Menu!$N$4:$N$29</c:f>
              <c:numCache>
                <c:formatCode>General</c:formatCode>
                <c:ptCount val="26"/>
                <c:pt idx="0">
                  <c:v>-6.8500000000000019E-3</c:v>
                </c:pt>
                <c:pt idx="1">
                  <c:v>-6.3000000000000018E-3</c:v>
                </c:pt>
                <c:pt idx="2">
                  <c:v>-5.7500000000000016E-3</c:v>
                </c:pt>
                <c:pt idx="3">
                  <c:v>-5.2000000000000015E-3</c:v>
                </c:pt>
                <c:pt idx="4">
                  <c:v>-4.6500000000000014E-3</c:v>
                </c:pt>
                <c:pt idx="5">
                  <c:v>-4.1000000000000012E-3</c:v>
                </c:pt>
                <c:pt idx="6">
                  <c:v>-3.5500000000000011E-3</c:v>
                </c:pt>
                <c:pt idx="7">
                  <c:v>-3.0000000000000009E-3</c:v>
                </c:pt>
                <c:pt idx="8">
                  <c:v>-2.4500000000000008E-3</c:v>
                </c:pt>
                <c:pt idx="9">
                  <c:v>-1.9000000000000006E-3</c:v>
                </c:pt>
                <c:pt idx="10">
                  <c:v>-1.3500000000000005E-3</c:v>
                </c:pt>
                <c:pt idx="11">
                  <c:v>-8.0000000000000036E-4</c:v>
                </c:pt>
                <c:pt idx="12">
                  <c:v>-2.5000000000000033E-4</c:v>
                </c:pt>
                <c:pt idx="13">
                  <c:v>2.999999999999997E-4</c:v>
                </c:pt>
                <c:pt idx="14">
                  <c:v>8.4999999999999974E-4</c:v>
                </c:pt>
                <c:pt idx="15">
                  <c:v>1.3999999999999998E-3</c:v>
                </c:pt>
                <c:pt idx="16">
                  <c:v>1.9499999999999999E-3</c:v>
                </c:pt>
                <c:pt idx="17">
                  <c:v>2.5000000000000001E-3</c:v>
                </c:pt>
                <c:pt idx="18">
                  <c:v>2.9499999999999999E-3</c:v>
                </c:pt>
                <c:pt idx="19">
                  <c:v>3.3999999999999998E-3</c:v>
                </c:pt>
                <c:pt idx="20">
                  <c:v>3.8499999999999997E-3</c:v>
                </c:pt>
                <c:pt idx="21">
                  <c:v>4.3E-3</c:v>
                </c:pt>
                <c:pt idx="22">
                  <c:v>4.7499999999999999E-3</c:v>
                </c:pt>
                <c:pt idx="23">
                  <c:v>5.1999999999999998E-3</c:v>
                </c:pt>
                <c:pt idx="24">
                  <c:v>5.6499999999999996E-3</c:v>
                </c:pt>
                <c:pt idx="25">
                  <c:v>6.0999999999999995E-3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89-4440-8416-FFA75C1142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258432"/>
        <c:axId val="150259968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>
                      <c:ext uri="{02D57815-91ED-43cb-92C2-25804820EDAC}">
                        <c15:formulaRef>
                          <c15:sqref>[1]Menu!$F$4:$F$29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-6.4500000000000009E-3</c:v>
                      </c:pt>
                      <c:pt idx="1">
                        <c:v>-5.9000000000000007E-3</c:v>
                      </c:pt>
                      <c:pt idx="2">
                        <c:v>-5.3500000000000006E-3</c:v>
                      </c:pt>
                      <c:pt idx="3">
                        <c:v>-4.8000000000000004E-3</c:v>
                      </c:pt>
                      <c:pt idx="4">
                        <c:v>-4.2500000000000003E-3</c:v>
                      </c:pt>
                      <c:pt idx="5">
                        <c:v>-3.7000000000000006E-3</c:v>
                      </c:pt>
                      <c:pt idx="6">
                        <c:v>-3.1500000000000005E-3</c:v>
                      </c:pt>
                      <c:pt idx="7">
                        <c:v>-2.6000000000000003E-3</c:v>
                      </c:pt>
                      <c:pt idx="8">
                        <c:v>-2.0500000000000002E-3</c:v>
                      </c:pt>
                      <c:pt idx="9">
                        <c:v>-1.5E-3</c:v>
                      </c:pt>
                      <c:pt idx="10">
                        <c:v>-1.0500000000000002E-3</c:v>
                      </c:pt>
                      <c:pt idx="11">
                        <c:v>-6.0000000000000016E-4</c:v>
                      </c:pt>
                      <c:pt idx="12">
                        <c:v>-1.5000000000000018E-4</c:v>
                      </c:pt>
                      <c:pt idx="13">
                        <c:v>2.9999999999999981E-4</c:v>
                      </c:pt>
                      <c:pt idx="14">
                        <c:v>7.499999999999998E-4</c:v>
                      </c:pt>
                      <c:pt idx="15">
                        <c:v>1.1999999999999997E-3</c:v>
                      </c:pt>
                      <c:pt idx="16">
                        <c:v>1.6499999999999996E-3</c:v>
                      </c:pt>
                      <c:pt idx="17">
                        <c:v>2.0999999999999994E-3</c:v>
                      </c:pt>
                      <c:pt idx="18">
                        <c:v>2.5499999999999993E-3</c:v>
                      </c:pt>
                      <c:pt idx="19">
                        <c:v>2.9999999999999992E-3</c:v>
                      </c:pt>
                      <c:pt idx="20">
                        <c:v>3.4499999999999991E-3</c:v>
                      </c:pt>
                      <c:pt idx="21">
                        <c:v>3.899999999999999E-3</c:v>
                      </c:pt>
                      <c:pt idx="22">
                        <c:v>4.3499999999999988E-3</c:v>
                      </c:pt>
                      <c:pt idx="23">
                        <c:v>4.7999999999999987E-3</c:v>
                      </c:pt>
                      <c:pt idx="24">
                        <c:v>5.2499999999999986E-3</c:v>
                      </c:pt>
                      <c:pt idx="25">
                        <c:v>5.6999999999999985E-3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5689-4440-8416-FFA75C1142ED}"/>
                  </c:ext>
                </c:extLst>
              </c15:ser>
            </c15:filteredLineSeries>
            <c15:filteredLineSeries>
              <c15:ser>
                <c:idx val="2"/>
                <c:order val="2"/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[1]Menu!$G$4:$G$29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-6.5000000000000014E-3</c:v>
                      </c:pt>
                      <c:pt idx="1">
                        <c:v>-5.9500000000000013E-3</c:v>
                      </c:pt>
                      <c:pt idx="2">
                        <c:v>-5.4000000000000012E-3</c:v>
                      </c:pt>
                      <c:pt idx="3">
                        <c:v>-4.850000000000001E-3</c:v>
                      </c:pt>
                      <c:pt idx="4">
                        <c:v>-4.3000000000000009E-3</c:v>
                      </c:pt>
                      <c:pt idx="5">
                        <c:v>-3.7500000000000007E-3</c:v>
                      </c:pt>
                      <c:pt idx="6">
                        <c:v>-3.2000000000000006E-3</c:v>
                      </c:pt>
                      <c:pt idx="7">
                        <c:v>-2.6500000000000004E-3</c:v>
                      </c:pt>
                      <c:pt idx="8">
                        <c:v>-2.1000000000000003E-3</c:v>
                      </c:pt>
                      <c:pt idx="9">
                        <c:v>-1.5500000000000002E-3</c:v>
                      </c:pt>
                      <c:pt idx="10">
                        <c:v>-1E-3</c:v>
                      </c:pt>
                      <c:pt idx="11">
                        <c:v>-5.5000000000000003E-4</c:v>
                      </c:pt>
                      <c:pt idx="12">
                        <c:v>-1.0000000000000005E-4</c:v>
                      </c:pt>
                      <c:pt idx="13">
                        <c:v>3.4999999999999994E-4</c:v>
                      </c:pt>
                      <c:pt idx="14">
                        <c:v>7.9999999999999993E-4</c:v>
                      </c:pt>
                      <c:pt idx="15">
                        <c:v>1.2499999999999998E-3</c:v>
                      </c:pt>
                      <c:pt idx="16">
                        <c:v>1.6999999999999997E-3</c:v>
                      </c:pt>
                      <c:pt idx="17">
                        <c:v>2.1499999999999996E-3</c:v>
                      </c:pt>
                      <c:pt idx="18">
                        <c:v>2.5999999999999994E-3</c:v>
                      </c:pt>
                      <c:pt idx="19">
                        <c:v>3.0499999999999993E-3</c:v>
                      </c:pt>
                      <c:pt idx="20">
                        <c:v>3.4999999999999992E-3</c:v>
                      </c:pt>
                      <c:pt idx="21">
                        <c:v>3.9499999999999995E-3</c:v>
                      </c:pt>
                      <c:pt idx="22">
                        <c:v>4.3999999999999994E-3</c:v>
                      </c:pt>
                      <c:pt idx="23">
                        <c:v>4.8499999999999993E-3</c:v>
                      </c:pt>
                      <c:pt idx="24">
                        <c:v>5.2999999999999992E-3</c:v>
                      </c:pt>
                      <c:pt idx="25">
                        <c:v>5.749999999999999E-3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689-4440-8416-FFA75C1142ED}"/>
                  </c:ext>
                </c:extLst>
              </c15:ser>
            </c15:filteredLineSeries>
            <c15:filteredLineSeries>
              <c15:ser>
                <c:idx val="3"/>
                <c:order val="3"/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[1]Menu!$H$4:$H$29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-6.5500000000000011E-3</c:v>
                      </c:pt>
                      <c:pt idx="1">
                        <c:v>-6.000000000000001E-3</c:v>
                      </c:pt>
                      <c:pt idx="2">
                        <c:v>-5.4500000000000009E-3</c:v>
                      </c:pt>
                      <c:pt idx="3">
                        <c:v>-4.9000000000000007E-3</c:v>
                      </c:pt>
                      <c:pt idx="4">
                        <c:v>-4.3500000000000006E-3</c:v>
                      </c:pt>
                      <c:pt idx="5">
                        <c:v>-3.8000000000000009E-3</c:v>
                      </c:pt>
                      <c:pt idx="6">
                        <c:v>-3.2500000000000007E-3</c:v>
                      </c:pt>
                      <c:pt idx="7">
                        <c:v>-2.7000000000000006E-3</c:v>
                      </c:pt>
                      <c:pt idx="8">
                        <c:v>-2.1500000000000004E-3</c:v>
                      </c:pt>
                      <c:pt idx="9">
                        <c:v>-1.6000000000000003E-3</c:v>
                      </c:pt>
                      <c:pt idx="10">
                        <c:v>-1.0500000000000002E-3</c:v>
                      </c:pt>
                      <c:pt idx="11">
                        <c:v>-5.0000000000000001E-4</c:v>
                      </c:pt>
                      <c:pt idx="12">
                        <c:v>-5.0000000000000023E-5</c:v>
                      </c:pt>
                      <c:pt idx="13">
                        <c:v>3.9999999999999996E-4</c:v>
                      </c:pt>
                      <c:pt idx="14">
                        <c:v>8.4999999999999995E-4</c:v>
                      </c:pt>
                      <c:pt idx="15">
                        <c:v>1.2999999999999999E-3</c:v>
                      </c:pt>
                      <c:pt idx="16">
                        <c:v>1.7499999999999998E-3</c:v>
                      </c:pt>
                      <c:pt idx="17">
                        <c:v>2.1999999999999997E-3</c:v>
                      </c:pt>
                      <c:pt idx="18">
                        <c:v>2.6499999999999996E-3</c:v>
                      </c:pt>
                      <c:pt idx="19">
                        <c:v>3.0999999999999995E-3</c:v>
                      </c:pt>
                      <c:pt idx="20">
                        <c:v>3.5499999999999993E-3</c:v>
                      </c:pt>
                      <c:pt idx="21">
                        <c:v>3.9999999999999992E-3</c:v>
                      </c:pt>
                      <c:pt idx="22">
                        <c:v>4.4499999999999991E-3</c:v>
                      </c:pt>
                      <c:pt idx="23">
                        <c:v>4.899999999999999E-3</c:v>
                      </c:pt>
                      <c:pt idx="24">
                        <c:v>5.3499999999999989E-3</c:v>
                      </c:pt>
                      <c:pt idx="25">
                        <c:v>5.7999999999999987E-3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689-4440-8416-FFA75C1142ED}"/>
                  </c:ext>
                </c:extLst>
              </c15:ser>
            </c15:filteredLineSeries>
            <c15:filteredLineSeries>
              <c15:ser>
                <c:idx val="4"/>
                <c:order val="4"/>
                <c:spPr>
                  <a:ln w="28575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[1]Menu!$I$4:$I$29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-6.6000000000000008E-3</c:v>
                      </c:pt>
                      <c:pt idx="1">
                        <c:v>-6.0500000000000007E-3</c:v>
                      </c:pt>
                      <c:pt idx="2">
                        <c:v>-5.5000000000000005E-3</c:v>
                      </c:pt>
                      <c:pt idx="3">
                        <c:v>-4.9500000000000004E-3</c:v>
                      </c:pt>
                      <c:pt idx="4">
                        <c:v>-4.4000000000000003E-3</c:v>
                      </c:pt>
                      <c:pt idx="5">
                        <c:v>-3.8500000000000006E-3</c:v>
                      </c:pt>
                      <c:pt idx="6">
                        <c:v>-3.3000000000000004E-3</c:v>
                      </c:pt>
                      <c:pt idx="7">
                        <c:v>-2.7500000000000003E-3</c:v>
                      </c:pt>
                      <c:pt idx="8">
                        <c:v>-2.2000000000000001E-3</c:v>
                      </c:pt>
                      <c:pt idx="9">
                        <c:v>-1.65E-3</c:v>
                      </c:pt>
                      <c:pt idx="10">
                        <c:v>-1.1000000000000001E-3</c:v>
                      </c:pt>
                      <c:pt idx="11">
                        <c:v>-5.5000000000000003E-4</c:v>
                      </c:pt>
                      <c:pt idx="12">
                        <c:v>0</c:v>
                      </c:pt>
                      <c:pt idx="13">
                        <c:v>4.4999999999999999E-4</c:v>
                      </c:pt>
                      <c:pt idx="14">
                        <c:v>8.9999999999999998E-4</c:v>
                      </c:pt>
                      <c:pt idx="15">
                        <c:v>1.3500000000000001E-3</c:v>
                      </c:pt>
                      <c:pt idx="16">
                        <c:v>1.8E-3</c:v>
                      </c:pt>
                      <c:pt idx="17">
                        <c:v>2.2499999999999998E-3</c:v>
                      </c:pt>
                      <c:pt idx="18">
                        <c:v>2.6999999999999997E-3</c:v>
                      </c:pt>
                      <c:pt idx="19">
                        <c:v>3.1499999999999996E-3</c:v>
                      </c:pt>
                      <c:pt idx="20">
                        <c:v>3.5999999999999995E-3</c:v>
                      </c:pt>
                      <c:pt idx="21">
                        <c:v>4.0499999999999998E-3</c:v>
                      </c:pt>
                      <c:pt idx="22">
                        <c:v>4.4999999999999997E-3</c:v>
                      </c:pt>
                      <c:pt idx="23">
                        <c:v>4.9499999999999995E-3</c:v>
                      </c:pt>
                      <c:pt idx="24">
                        <c:v>5.3999999999999994E-3</c:v>
                      </c:pt>
                      <c:pt idx="25">
                        <c:v>5.8499999999999993E-3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689-4440-8416-FFA75C1142ED}"/>
                  </c:ext>
                </c:extLst>
              </c15:ser>
            </c15:filteredLineSeries>
            <c15:filteredLineSeries>
              <c15:ser>
                <c:idx val="5"/>
                <c:order val="5"/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[1]Menu!$J$4:$J$29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-6.6500000000000014E-3</c:v>
                      </c:pt>
                      <c:pt idx="1">
                        <c:v>-6.1000000000000013E-3</c:v>
                      </c:pt>
                      <c:pt idx="2">
                        <c:v>-5.5500000000000011E-3</c:v>
                      </c:pt>
                      <c:pt idx="3">
                        <c:v>-5.000000000000001E-3</c:v>
                      </c:pt>
                      <c:pt idx="4">
                        <c:v>-4.4500000000000008E-3</c:v>
                      </c:pt>
                      <c:pt idx="5">
                        <c:v>-3.9000000000000007E-3</c:v>
                      </c:pt>
                      <c:pt idx="6">
                        <c:v>-3.3500000000000005E-3</c:v>
                      </c:pt>
                      <c:pt idx="7">
                        <c:v>-2.8000000000000004E-3</c:v>
                      </c:pt>
                      <c:pt idx="8">
                        <c:v>-2.2500000000000003E-3</c:v>
                      </c:pt>
                      <c:pt idx="9">
                        <c:v>-1.7000000000000001E-3</c:v>
                      </c:pt>
                      <c:pt idx="10">
                        <c:v>-1.15E-3</c:v>
                      </c:pt>
                      <c:pt idx="11">
                        <c:v>-6.0000000000000006E-4</c:v>
                      </c:pt>
                      <c:pt idx="12">
                        <c:v>-5.0000000000000023E-5</c:v>
                      </c:pt>
                      <c:pt idx="13">
                        <c:v>5.0000000000000001E-4</c:v>
                      </c:pt>
                      <c:pt idx="14">
                        <c:v>9.5E-4</c:v>
                      </c:pt>
                      <c:pt idx="15">
                        <c:v>1.4E-3</c:v>
                      </c:pt>
                      <c:pt idx="16">
                        <c:v>1.8500000000000001E-3</c:v>
                      </c:pt>
                      <c:pt idx="17">
                        <c:v>2.3E-3</c:v>
                      </c:pt>
                      <c:pt idx="18">
                        <c:v>2.7499999999999998E-3</c:v>
                      </c:pt>
                      <c:pt idx="19">
                        <c:v>3.1999999999999997E-3</c:v>
                      </c:pt>
                      <c:pt idx="20">
                        <c:v>3.6499999999999996E-3</c:v>
                      </c:pt>
                      <c:pt idx="21">
                        <c:v>4.0999999999999995E-3</c:v>
                      </c:pt>
                      <c:pt idx="22">
                        <c:v>4.5499999999999994E-3</c:v>
                      </c:pt>
                      <c:pt idx="23">
                        <c:v>4.9999999999999992E-3</c:v>
                      </c:pt>
                      <c:pt idx="24">
                        <c:v>5.4499999999999991E-3</c:v>
                      </c:pt>
                      <c:pt idx="25">
                        <c:v>5.899999999999999E-3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5689-4440-8416-FFA75C1142ED}"/>
                  </c:ext>
                </c:extLst>
              </c15:ser>
            </c15:filteredLineSeries>
            <c15:filteredLineSeries>
              <c15:ser>
                <c:idx val="6"/>
                <c:order val="6"/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[1]Menu!$K$4:$K$29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-6.7000000000000011E-3</c:v>
                      </c:pt>
                      <c:pt idx="1">
                        <c:v>-6.150000000000001E-3</c:v>
                      </c:pt>
                      <c:pt idx="2">
                        <c:v>-5.6000000000000008E-3</c:v>
                      </c:pt>
                      <c:pt idx="3">
                        <c:v>-5.0500000000000007E-3</c:v>
                      </c:pt>
                      <c:pt idx="4">
                        <c:v>-4.5000000000000005E-3</c:v>
                      </c:pt>
                      <c:pt idx="5">
                        <c:v>-3.9500000000000004E-3</c:v>
                      </c:pt>
                      <c:pt idx="6">
                        <c:v>-3.4000000000000007E-3</c:v>
                      </c:pt>
                      <c:pt idx="7">
                        <c:v>-2.8500000000000005E-3</c:v>
                      </c:pt>
                      <c:pt idx="8">
                        <c:v>-2.3000000000000004E-3</c:v>
                      </c:pt>
                      <c:pt idx="9">
                        <c:v>-1.7500000000000003E-3</c:v>
                      </c:pt>
                      <c:pt idx="10">
                        <c:v>-1.2000000000000001E-3</c:v>
                      </c:pt>
                      <c:pt idx="11">
                        <c:v>-6.5000000000000008E-4</c:v>
                      </c:pt>
                      <c:pt idx="12">
                        <c:v>-1.0000000000000005E-4</c:v>
                      </c:pt>
                      <c:pt idx="13">
                        <c:v>4.4999999999999999E-4</c:v>
                      </c:pt>
                      <c:pt idx="14">
                        <c:v>1E-3</c:v>
                      </c:pt>
                      <c:pt idx="15">
                        <c:v>1.4499999999999999E-3</c:v>
                      </c:pt>
                      <c:pt idx="16">
                        <c:v>1.8999999999999998E-3</c:v>
                      </c:pt>
                      <c:pt idx="17">
                        <c:v>2.3499999999999997E-3</c:v>
                      </c:pt>
                      <c:pt idx="18">
                        <c:v>2.7999999999999995E-3</c:v>
                      </c:pt>
                      <c:pt idx="19">
                        <c:v>3.2499999999999994E-3</c:v>
                      </c:pt>
                      <c:pt idx="20">
                        <c:v>3.6999999999999993E-3</c:v>
                      </c:pt>
                      <c:pt idx="21">
                        <c:v>4.1499999999999992E-3</c:v>
                      </c:pt>
                      <c:pt idx="22">
                        <c:v>4.5999999999999991E-3</c:v>
                      </c:pt>
                      <c:pt idx="23">
                        <c:v>5.0499999999999989E-3</c:v>
                      </c:pt>
                      <c:pt idx="24">
                        <c:v>5.4999999999999988E-3</c:v>
                      </c:pt>
                      <c:pt idx="25">
                        <c:v>5.9499999999999987E-3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5689-4440-8416-FFA75C1142ED}"/>
                  </c:ext>
                </c:extLst>
              </c15:ser>
            </c15:filteredLineSeries>
            <c15:filteredLineSeries>
              <c15:ser>
                <c:idx val="7"/>
                <c:order val="7"/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[1]Menu!$L$4:$L$29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-6.7500000000000017E-3</c:v>
                      </c:pt>
                      <c:pt idx="1">
                        <c:v>-6.2000000000000015E-3</c:v>
                      </c:pt>
                      <c:pt idx="2">
                        <c:v>-5.6500000000000014E-3</c:v>
                      </c:pt>
                      <c:pt idx="3">
                        <c:v>-5.1000000000000012E-3</c:v>
                      </c:pt>
                      <c:pt idx="4">
                        <c:v>-4.5500000000000011E-3</c:v>
                      </c:pt>
                      <c:pt idx="5">
                        <c:v>-4.000000000000001E-3</c:v>
                      </c:pt>
                      <c:pt idx="6">
                        <c:v>-3.4500000000000008E-3</c:v>
                      </c:pt>
                      <c:pt idx="7">
                        <c:v>-2.9000000000000007E-3</c:v>
                      </c:pt>
                      <c:pt idx="8">
                        <c:v>-2.3500000000000005E-3</c:v>
                      </c:pt>
                      <c:pt idx="9">
                        <c:v>-1.8000000000000004E-3</c:v>
                      </c:pt>
                      <c:pt idx="10">
                        <c:v>-1.2500000000000002E-3</c:v>
                      </c:pt>
                      <c:pt idx="11">
                        <c:v>-7.000000000000001E-4</c:v>
                      </c:pt>
                      <c:pt idx="12">
                        <c:v>-1.5000000000000007E-4</c:v>
                      </c:pt>
                      <c:pt idx="13">
                        <c:v>3.9999999999999996E-4</c:v>
                      </c:pt>
                      <c:pt idx="14">
                        <c:v>9.5E-4</c:v>
                      </c:pt>
                      <c:pt idx="15">
                        <c:v>1.5E-3</c:v>
                      </c:pt>
                      <c:pt idx="16">
                        <c:v>1.9499999999999999E-3</c:v>
                      </c:pt>
                      <c:pt idx="17">
                        <c:v>2.3999999999999998E-3</c:v>
                      </c:pt>
                      <c:pt idx="18">
                        <c:v>2.8499999999999997E-3</c:v>
                      </c:pt>
                      <c:pt idx="19">
                        <c:v>3.2999999999999995E-3</c:v>
                      </c:pt>
                      <c:pt idx="20">
                        <c:v>3.7499999999999994E-3</c:v>
                      </c:pt>
                      <c:pt idx="21">
                        <c:v>4.1999999999999997E-3</c:v>
                      </c:pt>
                      <c:pt idx="22">
                        <c:v>4.6499999999999996E-3</c:v>
                      </c:pt>
                      <c:pt idx="23">
                        <c:v>5.0999999999999995E-3</c:v>
                      </c:pt>
                      <c:pt idx="24">
                        <c:v>5.5499999999999994E-3</c:v>
                      </c:pt>
                      <c:pt idx="25">
                        <c:v>5.9999999999999993E-3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5689-4440-8416-FFA75C1142ED}"/>
                  </c:ext>
                </c:extLst>
              </c15:ser>
            </c15:filteredLineSeries>
            <c15:filteredLineSeries>
              <c15:ser>
                <c:idx val="8"/>
                <c:order val="8"/>
                <c:spPr>
                  <a:ln w="28575" cap="rnd">
                    <a:solidFill>
                      <a:schemeClr val="accent3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[1]Menu!$M$4:$M$29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-6.8000000000000014E-3</c:v>
                      </c:pt>
                      <c:pt idx="1">
                        <c:v>-6.2500000000000012E-3</c:v>
                      </c:pt>
                      <c:pt idx="2">
                        <c:v>-5.7000000000000011E-3</c:v>
                      </c:pt>
                      <c:pt idx="3">
                        <c:v>-5.1500000000000009E-3</c:v>
                      </c:pt>
                      <c:pt idx="4">
                        <c:v>-4.6000000000000008E-3</c:v>
                      </c:pt>
                      <c:pt idx="5">
                        <c:v>-4.0500000000000006E-3</c:v>
                      </c:pt>
                      <c:pt idx="6">
                        <c:v>-3.5000000000000009E-3</c:v>
                      </c:pt>
                      <c:pt idx="7">
                        <c:v>-2.9500000000000008E-3</c:v>
                      </c:pt>
                      <c:pt idx="8">
                        <c:v>-2.4000000000000007E-3</c:v>
                      </c:pt>
                      <c:pt idx="9">
                        <c:v>-1.8500000000000005E-3</c:v>
                      </c:pt>
                      <c:pt idx="10">
                        <c:v>-1.3000000000000004E-3</c:v>
                      </c:pt>
                      <c:pt idx="11">
                        <c:v>-7.5000000000000023E-4</c:v>
                      </c:pt>
                      <c:pt idx="12">
                        <c:v>-2.000000000000002E-4</c:v>
                      </c:pt>
                      <c:pt idx="13">
                        <c:v>3.4999999999999983E-4</c:v>
                      </c:pt>
                      <c:pt idx="14">
                        <c:v>8.9999999999999987E-4</c:v>
                      </c:pt>
                      <c:pt idx="15">
                        <c:v>1.4499999999999999E-3</c:v>
                      </c:pt>
                      <c:pt idx="16">
                        <c:v>2E-3</c:v>
                      </c:pt>
                      <c:pt idx="17">
                        <c:v>2.4499999999999999E-3</c:v>
                      </c:pt>
                      <c:pt idx="18">
                        <c:v>2.8999999999999998E-3</c:v>
                      </c:pt>
                      <c:pt idx="19">
                        <c:v>3.3499999999999997E-3</c:v>
                      </c:pt>
                      <c:pt idx="20">
                        <c:v>3.7999999999999996E-3</c:v>
                      </c:pt>
                      <c:pt idx="21">
                        <c:v>4.2499999999999994E-3</c:v>
                      </c:pt>
                      <c:pt idx="22">
                        <c:v>4.6999999999999993E-3</c:v>
                      </c:pt>
                      <c:pt idx="23">
                        <c:v>5.1499999999999992E-3</c:v>
                      </c:pt>
                      <c:pt idx="24">
                        <c:v>5.5999999999999991E-3</c:v>
                      </c:pt>
                      <c:pt idx="25">
                        <c:v>6.049999999999999E-3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689-4440-8416-FFA75C1142ED}"/>
                  </c:ext>
                </c:extLst>
              </c15:ser>
            </c15:filteredLineSeries>
          </c:ext>
        </c:extLst>
      </c:lineChart>
      <c:catAx>
        <c:axId val="15025843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0259968"/>
        <c:crosses val="autoZero"/>
        <c:auto val="1"/>
        <c:lblAlgn val="ctr"/>
        <c:lblOffset val="100"/>
        <c:noMultiLvlLbl val="0"/>
      </c:catAx>
      <c:valAx>
        <c:axId val="150259968"/>
        <c:scaling>
          <c:orientation val="minMax"/>
          <c:max val="6.1500000000000027E-3"/>
          <c:min val="-6.8500000000000028E-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0258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8" footer="0.31496062000000008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114300</xdr:colOff>
      <xdr:row>7</xdr:row>
      <xdr:rowOff>9525</xdr:rowOff>
    </xdr:from>
    <xdr:to>
      <xdr:col>23</xdr:col>
      <xdr:colOff>209550</xdr:colOff>
      <xdr:row>23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B73D895F-607C-493A-9BB4-AD4658E51AE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C4468BEC-5506-4FB9-B5E1-6579EBFEEA0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3F9D6E77-2F78-4614-9274-2B4B7C617007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CA5B043C-C489-427F-A087-AE5E202BE62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3E70972C-8AB7-4AB6-8690-4D8BEBBB7ED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CBE72D30-EDCE-4CCB-AA20-99A3F8A117E1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C1612D9D-7D4A-436A-963C-86A697B6BC90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01E7DA41-3EAB-4E12-88F0-9DC6B19E1016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1FFEA4F4-7B6A-4086-B08D-97EF6DC332E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BC285870-9EE3-4EC6-8E51-0F4232F4C169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3AEB9F94-A69F-473B-9E23-116060D11CD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97C4BEEA-1095-4368-9512-06601C86F18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2701B583-B6BB-400B-8FB0-44E498258220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BB135FDC-DDE9-4D7A-A4E7-859889665E6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C980832E-46DE-40C3-B909-87723F5B395B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68ACE274-2BB0-46FA-A8F5-4F85A97D52D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552DF4B5-BA4A-43EA-80E1-C39ADD9BBBD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CEAF2B60-2D9A-4F17-BCE3-EFBAAEE02C7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B86E2DDF-82DF-4EEA-B5DB-C41330C6ED8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30B5C25E-143C-41C6-B915-12C0A47CBE7A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ED40B535-F4B1-495D-BF27-75C66D51C5B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4889E8DA-EDE0-4DC3-AECF-96E358FA0736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2880E3DC-698A-44A8-BA87-79CA07E14C9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73834744-BF8D-4BCF-91F8-308FBD837BE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5FA54BE2-01AF-47C0-AA12-AE5132253E3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3B804CB6-E71D-489B-9286-21490FA3849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F91F689B-9E2B-4777-BD8A-C9267438573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CEF68653-55FC-4B23-B16C-D4F62D976835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CB097698-7EC6-4294-90C0-DC5A64B83BB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8265FE67-07B4-493D-B4E6-3200AD19B6F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6434A359-A59B-4711-9A4B-D6F92488BB6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9DF3DE6F-2F2F-4948-8BAA-B0BA6CDC0B73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3504D452-6DCD-4871-95DC-A093E7A31F7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97476331-CBE1-4741-B2C4-2CBBE8143B2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7A8E73E9-5D22-424C-8936-2DE8991D96CA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2DF3B4B3-BF40-4DFE-B977-33873D2F69F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42B4792D-BB98-45A7-BB7B-51B147F04583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0B690CEB-95E2-4830-BCE0-5301CF3573C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C3276DC4-BFD3-4960-A9D1-F89BD369EAE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C69CA03C-A391-4AE6-9B7A-E99118A039A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3E468B45-0D34-4506-BFB9-105EC28FB3F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EE891C41-CCB4-4B47-B24A-1AFBB941E07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69E14C96-ABE7-4BF1-8607-41886DCB4A00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31EF9D6F-A6A3-43AB-B274-7DFDA19E248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06DC7726-F354-4E72-961C-1DC5692E0878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32126DBC-2EFC-4E02-8940-4E92D2CFA3DC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FABFC090-245E-43B7-85F1-377FF812D514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4BFE937E-F4C8-4D68-A9F5-4AAC76D7B67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916D7137-92E5-4F7A-BC06-3D32C83A3FE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4119C1BF-1E08-4B49-8AC1-82FD3FD370DD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CBD428B3-8AFD-4B1C-AC04-F45648373DF4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118A30E9-3F94-46B9-8C42-830D3DAAE678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115E0E8B-36C7-4262-80A1-5C906F4CD2B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6FE6FFD1-9DC8-47D6-9D8A-F790DE10E29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73FEE84D-8FC5-4176-A97F-9FDBD8EC6E7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123EF7E2-ABEF-466B-8399-0BD66312929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4C36B338-86FF-4A13-A999-CF3E0336043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6F235A50-EE31-4826-874F-A2BEF3EC955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7C33AB97-6D63-46E7-894D-B67ED1FD938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5BA902CA-2925-455F-90F9-ED9350C18FD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C8E9C7A4-9D93-44B6-A97A-BD040A9DFB62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023CE542-9115-42CB-BC89-DA92C2AD86D8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7D472FD2-842D-4ABD-B34C-1B747F34CA8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D6115322-E242-45E6-AB8C-75FEDA7FFF8F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5C9526C4-C4FC-4367-8F4F-7EA430ABF02B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294A989D-6EE7-4FAE-8D76-F963124CE6CF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459C3922-696C-410E-A42D-E0A3C0344AB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318D1AD7-B63A-455F-9504-F7DD3FA87412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EC201C11-30A8-412D-A129-678F6D4D4A4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4841F645-C75F-4458-A376-FB578646218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3390389B-7CF5-4F22-A269-54F9F6C7FCE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767CA777-FC6E-47A4-9EB2-EC492C41A471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A8EA54FD-B079-416C-9AED-AEC3B6FD4C95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6957AC0E-A261-4300-83CB-52ECB78FFFF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C78B1F9B-964E-48C7-B7AD-E355B05B21D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AB9B4B67-66B3-48BA-87E1-084BAD67783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E72EA4E6-3938-4838-AE5E-8ABA04DBA96D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F1673C4C-CA6E-4A95-9E68-4314A377E75B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B9D3878F-4EF9-4BAB-BE7F-CFFCB523404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A1BE639E-281A-413F-96F2-427DCBAD908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D4F90ADA-E61B-49A8-A1F1-B8C3D82CDEF7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F6E4E6CA-F6C8-48FC-ACB0-DD12941EDDB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550DB2CC-776F-4336-BC37-07DA71EF2D0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8FF3B684-7B15-4847-A51C-8C0A329A231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4834777E-2310-41C8-8638-7BB25976B6B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DCCBDD4B-B12D-4F75-934B-E519AB474A9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E5252292-4CDD-4134-90E9-7BF407236571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1670DC0C-A769-417E-BA60-13F26C00C9C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33B56DE2-CA4A-4BDD-82CF-DA5B38CFD88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060E653F-0B92-45ED-99A9-D0327A246A41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EFBD996A-BD8F-4D92-B833-0BE3A0E2BD1E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2A6DDCE3-4DFC-44B7-B6B2-D452E1A078B7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434CC044-88F3-49D5-8B8D-0B22EB994DB0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0936041E-BBC3-4705-B9B7-BF8135EF1FFF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8C200814-B6A7-45D2-8E63-31B63A206102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612E82D6-B882-44B0-ADA3-494C1DD32794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1AB7224C-4B3E-4B32-905E-196B6E03ED7F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FE9B81AE-F9BC-4C89-B826-D4985E271DE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254A2D88-2122-4453-A3CE-FDE5770527C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95A57556-0C29-4936-9A6B-337F4EF4283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8BDB15B9-91EB-4770-9D8B-49C26C8B58CD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D1C88886-C95E-4DFF-810E-707DDB370AA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0505DEA7-0DFE-4ACA-AC58-12BB2CE0AD2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7DEBF057-0FA7-4889-A72D-F6D72B953B4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62A21240-D7C7-48DC-B7D5-C2DDCAA2548C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46C6EA53-C598-446F-8920-B16CFC44016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BA1C60C6-0818-40D8-80F1-CBB31825BCD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75A6467B-0873-48FF-A909-72E76404C90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DECF2483-8712-477F-B34F-DCD1383D183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785F96D7-2146-47A3-9893-9B03F3B3463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396FD410-414F-4C8A-A213-81E4A4C0008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FAE7F19A-C779-4DF3-AE6F-9F8FCD0D2864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CA1CE248-4737-48F7-BA1B-C447106C75E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C054D92B-9A39-40D1-A3FF-D33187ACC98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245EA6D4-BBB0-45A5-B9E6-77DAB773ACED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57130582-2DDA-492C-AF41-3992207DE4D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D0B3C758-D04C-4CD2-8D9C-CA478DEC5E6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4A5B342A-ABA4-47B0-A220-CECBF34AE8F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C3EF24C5-B0A8-4AC1-8DA3-3C3B8160EB8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F82469CA-3832-4F70-ACC0-BB7279C80798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BF941C66-93A8-43EF-9790-9C6F87D70835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08DD91C5-D13D-4405-A0F5-441B65BD0D58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E48F1CFA-3563-446F-AC1F-F303773A16B6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7F9C62D5-0B4D-49E2-B7AB-ABADCE54AF6E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DE82BF8F-E481-4B13-A454-63EFDC5252FC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B765A844-C888-470F-BEA8-5130D3EA7B97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BA428DB5-6831-4866-A720-B0C664083D9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25BCCBE0-1B4F-4263-92C4-D3778F05E3E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9C31B75E-D056-42AE-8848-51B0A86AE57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62838FBA-DFA5-4141-B523-64D0B4060D0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99889815-E4C3-45CD-AE32-C868A7DC99B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AF317113-DA52-4A65-95FF-84E5849F0E16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C3F1EE22-087C-4061-B04E-4AE9F68CF426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823F4CC2-F06E-49F3-9BB9-8B580F4748D4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31C95CA6-CBC0-46C5-9E2E-DC755E28582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E4BEA3C9-405E-4611-8427-ADD1A991402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594EBA81-3AFA-470E-95E8-8565C88ACE8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37631C61-DB29-4917-8E4A-2068566F0A2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9BE6EFB4-59CA-486B-AC2C-E633E9B98C0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FBEAA15E-3242-4E7A-9BBE-E7ECEC1280A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16A9ABDE-B513-459B-AAB2-F56E3E00A70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B881DF3A-7821-4B5A-9C00-1EC01D9F7D2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847075D9-C4DC-4BE2-810D-D73E69DF2F0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82D2FDB7-A642-4EA2-9283-2032A27098B0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89F5C079-9A5F-4887-A96B-F55334ED43F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FBCC3E38-A9E2-40FE-8A45-A32B15CF128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08EF00DD-25EE-4499-9262-F533A45FCF8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683DD929-98AE-4BBB-A39A-F8546E98FA3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C8DBCAB7-2B5C-41D8-A2B5-B8622CAF3FD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619B6C01-58B0-4CF8-A3FA-E3D8F64D08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2E94AB9A-2C1A-40F0-B419-F11A9384FB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5B56EC0E-D060-4325-AF36-CC9BF6DFD5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E28FC097-1F75-4F97-AC16-610296CFAEEF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9B39064A-C178-4BC3-997C-13532E336FA7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89E62560-F144-42E4-BC37-A2A548A6F2A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EDF7303C-B644-484F-B71F-65AE568F6BF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5258E980-69EB-457D-A807-B33A54B6B27D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861A5351-91B5-48B0-BA4E-25AFA530D0A3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2C004726-C610-490B-A10D-8B8F2CF535E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776A17A1-8D1E-4AA4-AB51-442B3B3CA36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BAABCDA4-E861-4B61-9CFB-127D7CAF866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50797A2F-4920-4262-A425-945CA40D58F2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A2607731-DEE7-4951-B336-7F4DBE37EE6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468116A7-169E-4570-8581-49271D2C5DF3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AF8DF017-9C01-48B5-824C-932BFE0EDAF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3F5AD8BB-B1C4-4A31-A424-329B0399561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DA76C638-99CE-42A4-8FB1-204A00E9FFD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323DA88E-CE51-48C8-981E-DABAACFD48A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A5A52A15-8A61-4CCA-A238-27F672FA9F5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18F519DD-0F31-43D6-9F9C-4EB738CE4ED2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A0E450E2-FA18-445F-84EB-7222ED40DC6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6C26F68D-5C6A-48C2-AB7B-8F69A164DD9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988EBA89-085E-434F-8896-7F37C925C045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54C8CADD-C57B-4173-BFC6-19698F053FB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42BA5483-E854-45CF-8AD8-E147C32C072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0A21433E-824A-41A9-94AD-2AD8188B071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B927BCFE-9ED7-4CAA-9E3F-098B5CDDAE21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064A4D15-6A7C-4584-8D7D-8176DEE56594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8B8823C7-347E-4928-9EC7-8B1C78C7FDF3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50A71090-A64E-47B0-B1A7-94231A2BD07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3C30842B-5CE5-4FC9-8E9D-173EC2E7BE35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8B395AE7-AEFA-48C0-8D5A-5A22BF9C52F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9B3EBA50-6310-488E-B178-A873B4F173D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615040D0-3444-4F5B-9E76-88397518902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3ADDA99B-ED6E-45BB-BF6B-D190B3BD8ED3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81C71271-68E4-44AA-9B27-C7E3473E015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BACB6188-DB1D-4522-A652-966947D0178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BA8CA1B4-AB9E-40B4-933C-BAFC8F2456C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A9F536E1-C80A-4D39-A47C-BDCC31F25AF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8A68BBBC-58E5-4C86-ABF2-320CFF569D42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72E387FB-1DA1-4786-9F45-E48728D4DE1C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BC07B8CF-1F83-4876-AA65-7CCECDF0238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20823F33-5B8F-4422-8817-42188AC91E90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FAAB8B26-2C54-4EC7-9647-B8F4EF89505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5287977E-7932-4CD3-91B5-476AAFBBCB5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00AF5059-D885-4FC8-89A4-7909B2E77DE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C7557C78-3B3A-414E-B90E-A9B83359BEA1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A369FFD1-559D-4172-BAD0-384F25A6696F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551A803D-6D58-4825-B861-AA02DAEB439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8F5D21B3-0EBD-407C-8716-7153177B661C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80902854-23A4-4848-9475-B4E1FD198A1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DB061EEB-AC65-4AC7-AA9E-44FE9854E5EE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67A783B0-4C97-461D-A70E-D410FAF1D7A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8D5CCC00-2AEB-4B24-8FCC-F37EC91F62D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683B9A3C-7ECB-42DD-8E83-D5304700E9D2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4F13267C-996F-4488-86EE-774F510AC6E0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D916970D-6468-42F1-9423-00784FB1BED6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093D51A7-67E6-4264-8F3C-DBD6BDB77B9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487E47E6-527C-43B0-9723-E12A6392F5B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918D3E61-E39E-4420-971A-2A0FFA72CBAD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94EF1DCB-3A56-4F0C-88BE-8E8CB8C278C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A8C91ED3-7573-4E4F-965C-7E6C4AA0C8D8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A2483093-92A1-4279-B8D5-C7F52329C1E3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B8D4B46E-C24F-4925-B249-42EEF9AC6096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749ECDC5-037B-4D76-905F-47BC2A91A8E4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50D3D606-9D62-4927-AC03-61210698220B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3C884BC0-61E1-4A1F-B3F8-E278A8FFC439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CECDF465-CE52-47E2-B48D-03E77DFC6795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5B2EA03E-772E-496C-8C56-7844498E7218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D38F4720-8376-41EA-8D41-EA7752D0C05F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06A4457B-8842-413C-B875-0A7636762B6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9E3F1158-FC41-41CA-8CC9-0EBB27BC96A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67AC3EA8-09CB-447E-B2EC-98B68360171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8B58041E-61EB-41B0-B929-B5F99C7DE021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277F4415-9009-4023-8A7C-BDA56509E2C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978FF022-2177-45AB-9A34-653AB1195E78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68406300-879B-4639-A86B-6CB057B94270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939097B9-AAB6-4A3C-B136-AF6CF969E1B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FAD40B2E-FD6B-4888-BB11-F90C466774C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C0A2F4B2-6145-43A6-8484-FC6E8D9D780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276DFEDC-22C9-4051-8125-E3219F2B6BED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8A77ABA5-89FD-4904-AC8E-D14C9D1816F8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714B63C7-C4D2-4AAA-A03C-399EF06018B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483AFDF1-6463-4B28-9FB3-8C375CDC4FB1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1D8B48DA-DD4C-47B6-B566-84A3A080F15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D8C47537-81F0-4A0D-836D-4C26DA4A1BAB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12AF9682-9E35-4582-8F9A-83FB9A01686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5CFE584C-7614-409D-8D0D-5D7CD1610F11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C8DE2E6C-FDBF-436C-B7C4-D2618C139949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28FFF8FD-07E8-4E7E-913A-C142D7CC3814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26C02D71-CF2F-4DB6-BF54-6D7A414E8B9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590F6D19-2565-4711-A824-5F631D2C94ED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78EFCD7A-6F07-47D6-ADE8-C587D2FC9AC5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6E8A0C30-3E46-45DE-9AD2-EDCB839D0543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42CC14B8-1881-47B8-9B97-9C623605D0DC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C7A4207F-C2A4-492C-A07F-CED1DB4850C9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71A75579-6A94-46D1-B782-CA1255361026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A707EAB8-D362-4633-A856-AB36CB7532A7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FD2C93D3-8D4F-4172-B43F-80DD4ACBB8B9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146B91E9-D7D9-4E5F-B614-C7290100B0C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5545804A-0667-433E-8B33-F4007E8DCB1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B79D2679-C856-4C0F-9D4B-DB5E7F00E1E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1E3122D6-056C-4904-8C98-3A36673F040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0782B0C8-0D0E-4914-9692-23D6DD0E2784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64451158-3F50-4051-B882-45422239C04D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10F4CE3F-3A2A-4DAF-99D8-3F85D851377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ED456FB2-2467-4468-9036-467EB2E25783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702E7405-29FE-43DC-8F42-1C78B2CD619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2B87ED2D-44DC-4DDA-B09C-73A931B0B59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3F5988EC-E640-4E1D-BC53-FA436542753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CC1ED4FE-0862-4E81-9353-B9F4C0CFFB3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17E43F28-F6F3-48FC-B4A7-430D7DE1E019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50733BA3-CFB7-41D1-B4F3-25914804BA0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8E3888DF-0CE3-4945-B876-7A2247CC392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6FADB209-97A7-4D81-B9DC-E8A098C1006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9CB8A095-E8E1-4CD3-AC18-ACDD47B6B81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77CD1605-69D4-4D2D-8F5B-1642E1A3C7E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83F9985E-CB3D-4304-B14A-463369CC5FD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635A9997-9090-447E-B1C9-399FDE8FAD7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574EBC06-86B0-4F16-9F10-264B96A83F84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C974BB5B-FFC4-4137-BC82-E37AB2B9332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68BFAE68-29A6-45E9-A9B6-58DFD1E885A4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494AD219-C8D2-4D3D-8AF6-CA4EB26282A7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9E48A211-95EF-4513-A46F-2C2EB435F496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C9507FC6-58E5-41CA-9D1D-259A6B4A7DA1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10F256A1-E896-47C9-84B5-54FD23352EC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179239FC-31C1-40B0-86F8-4F999144390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8C087F90-0482-4D8B-83A5-BAF98B6DA59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281328E3-1043-4FC2-B7B5-5A827A7F8FC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46B99348-73AF-477E-9E7C-D29B1FFD007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188AE8AC-E625-4078-943E-3A4D9884BCE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26705B54-21A3-409B-A92F-902353C28E8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51A85263-D93D-4F24-B5AA-7D642257F100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50292787-B666-4CE7-9A0C-3AA6070714D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D55B1454-3ECF-4239-A773-8EC53CE757F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73BCF3D0-A5AD-4FBA-838C-AFBE327326D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60D00D47-7AAA-437D-980C-E92316535C6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7F086551-6DE1-4A40-A15D-7DACE5868D64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04AAF36C-5406-4FC9-A0B9-7CC2DA2D766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CD4F0346-ED8A-40D3-8808-65FD69102B6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C1DCA151-7173-4211-B027-C694E9D7D13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3D35E52E-D564-4106-BF6E-E19126F5779A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41E1AAF2-26F8-4B04-859B-6EB39AD4E65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2D108BE8-4AC0-4553-A5E7-8649E1880817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B6A99CE4-2DB4-4074-B49D-8CD886BD2E9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B45BDEB5-07EE-4808-B6A0-EF262273F493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678ECBA1-7C18-4159-9A84-2036B3B13B4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967F30DD-3C59-4E41-9843-E1341803900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6209E0AF-74D8-4A0E-88D9-D371C6AFF22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682614D7-5B1C-40FA-AE61-43A1A84FDFAB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F29E85CB-B93F-4434-AE51-ACCF807D6E3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7F539818-1B67-48BD-BF97-4E430B5DA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23D2C8D6-D55E-4733-8D67-49C239151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0E04EB0A-9214-4482-933D-1BBBCBD9F0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66A95FAE-5C89-4395-B301-A0D1B3AD6F9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E832DD3-4FA7-401E-B590-AE517D41549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411E1591-1CAE-4C8F-9C75-DE905B69548A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F0FCE96D-076A-4BCA-8561-D009D7EFD4E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D600061F-4EF7-4854-9DC3-3C8F97B36BB3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450F8BE2-A40E-45E9-9857-DE102DBB504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0F115702-9C36-4154-B8FA-3DE37BE49DC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913C58E8-1BD6-46FD-8564-C946AE04DD0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3BB6A946-B27F-4CB0-8545-92119E7AA1F2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EC9FD61F-A0B6-486A-A72B-8FFD4EFF196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DF9C903F-9A6E-4BE3-861F-E7E35101CBE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C546AC75-8194-4F4A-B409-D002C943B97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76FFF09F-F80F-40A7-B889-8E8AB848605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3957D7BE-069A-426C-85A4-80594F69824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29051878-A345-47CF-B44B-9A4513AFEC5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FB03AEE9-F8C0-4658-834D-DD6ED3EBAB94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BB2228D3-C87C-4AE0-B262-6A31B5627D51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AC528769-0C24-4AFA-B1DB-8608A9E8046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8DD35A9E-5EDA-41DB-8CAE-A5451EECD46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C25D7464-AA51-45A4-A2F7-12D401BBE4B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968CBE7B-91FE-4E1C-84A6-CFA6CC080FA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2EDB922D-E75F-485B-838F-39815C531ED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A3BB349B-5824-4E34-821B-143F8B43AE2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FCFB31AB-83EE-42A2-8E14-705698F22D8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C52C450E-1E2D-4E25-B755-5DCADD98435C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2193CF6D-C588-4374-B561-CFF925FFB7C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AD6B73DD-971F-43C4-AF88-0B87FC1BD3B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F51B3DBA-E8A9-4530-916C-2C625D1386A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6B109769-E1A7-4D54-9ACC-DF2FD23A5B4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A8196951-6983-4139-A2D3-967FC1BBF31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489258FE-7755-4823-B511-197C30CD7BA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CF41A9A9-7CCA-45EF-978C-8EFE5CB0639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B33839AE-D7C5-49AE-8CEE-0EFACB458DC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02318121-5F4B-4378-BFF0-B30C5E2CD6E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895500EC-93A2-441B-96A4-57FD337C994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35E9A8D6-6CB6-4386-B909-CE6407EEBE3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EF4740F8-073C-4AD6-9B98-07E4F884253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C9AABA0B-A49F-44C6-8DD0-7F6C96F1C99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7DC1C5F1-8028-4F7E-B04C-8BE4AD8407F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FD3508A8-61E2-4E28-B422-F59F66C63E4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0AA285B7-EAEC-4B73-AED7-0B758BFD3FA3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6ECF154A-3A26-4DA1-8D7E-024A30EDC812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FBBC02B2-C4A2-4EA6-9D72-5505A7C82BF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AC4F2062-F5F4-476F-A6A3-1BFDBD2190B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1E72B301-6D6F-4482-BC17-3EF7CA5B68B0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138B5722-7E8D-4EC5-B802-BFEBDDC8BB44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137AAB72-B5BC-4FA8-8E22-7B6EFDD602A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938D37FF-E6A7-4865-9F35-2D90F76E91D6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AD1D4849-F2D9-4721-8FC3-CBBD67D0DA6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3C4688EB-0B9F-44A0-AD4C-200795BBFB3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F7A1C2BE-9928-4DFE-8123-BC4D91DD5B0E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263EED34-00A8-42C1-A1B0-D0ADA9F77B78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322E80CD-72ED-4206-ACB3-5A694555213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ED09AC9D-C844-4761-B202-B3E9D97DB1F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2FB35F34-5B52-48D1-9B0F-6DC3840B569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56AD8706-05DE-4EAE-9892-ACBA81E70F4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1D6DEE62-5A3D-473A-A2C4-86D96BE85F5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489E82DB-D0EB-4961-B0EE-C81F68ACB00B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590C583B-F529-46FE-822E-FEF72D78A1F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D911D2F6-8586-4787-8C9F-03AD5531BC2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1080DD9A-DAC1-44E4-88F8-868FA43EB074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87C4FB69-BCB6-4F86-BE17-681B8CA71A8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813B1C66-7321-4A18-8D31-FC2F7F8C260D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C404EE09-A523-46A1-A7AE-50DB6B6E7F30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287E1F84-43BF-450C-AFAA-DD2CE12C9BA7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7D398A07-3E4D-408D-9D18-B2A8CE3D3D56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5DC4E16A-108E-4980-A04F-B4323EE1EDF9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D40B1CDF-7AD7-402B-9562-E5825E3074D5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42187AD5-0842-4A9E-A7A5-A9C6BEE2D18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9D6D1528-2707-4E18-B5DE-E941601FAAA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8E985D45-41B0-4851-B8FB-20235AA30F5D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95896920-9C3D-4C39-8C5F-43689F8FB4C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DA3A5F8D-3B54-473D-AD9B-E6CFF528B980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F821CD6C-B467-4AF2-8844-60A6FDB8CBC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1F866F1E-29C2-430B-BFE1-847708804613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B0510A3E-91E7-4B73-B1D5-B68B6E86D21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537D93CB-F03D-4BF5-A203-CC255D8180D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AB9E8AA4-B979-4FAF-AE64-B9835C9C99A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A157051E-BAFA-4A81-B343-C6435C95F04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25E230B5-62EA-4E27-93FD-B58692EA311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BF4A646C-DDCE-499D-84D0-90F4139AC951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4E29337F-4AF9-4282-AD6F-2C3D015F9037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7E6B3C89-88EB-48CB-9B3C-0DDEF5FC2CD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1D43E635-E34A-4B92-A3B6-3E75E5F6DD2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9E3BDD66-11BB-486C-AAA2-ABEF1D02B91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F87B43B6-5B74-4139-8DAA-898DFD4914B5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2F6491F0-AC7F-41AB-BB18-9F6FC2E6E006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7E7D11A3-5CF0-488A-B422-13C533D3A65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A595B40A-85D2-4B4A-956A-06556CA68E2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E8C416D4-42A5-43D3-A95C-61338BFE90AA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DB083C30-A6AB-4013-B84B-0E1A0A0355E0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ACF1336B-A714-4EEF-87D6-8825CD95917E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0A3515C5-3041-4ED5-8897-C17CABEE9C75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E1303638-A38F-4F5C-A071-3F5D9DE1F862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6605A68A-EF0D-4741-BB63-A6DE96D121B3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D431A0A7-AC6F-452E-8D76-62D5870864B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20B87B95-5FD6-45C2-B594-5F191A5F5892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461E3F8A-96F5-4BD8-A3CB-2CB6DEB0D25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672096E4-9B44-4A39-A1C3-3A4D058D386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1F904E44-657C-495F-A801-6BB4D8A9436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0F2DE7B6-34F9-467D-9E3A-FA4F8F33FF9C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FEFE4295-0244-4E08-87A1-E6EC10447D4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C2870F66-68C4-4EDD-BED6-CE995C00AFB0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EE42E159-B323-40BB-B69B-74AACB1CEDB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5286ECB1-2E46-498A-9A5D-32C6C8AACB4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C339E66D-257C-4B40-802C-924D552B72F9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9A764765-5898-4E6B-B97F-D90055041ED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8E521274-3C90-44D5-927D-C80D7832561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0E48BB3B-5651-40DE-9527-ADC95D87642C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21A84D1D-88EA-412D-AE28-2E1402E74E88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F23F7961-2F58-4AD7-A2B5-EE8EFD1C9563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5E45A5F2-3B9A-41C6-B331-E64F9B21BD5E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E877A8EC-84FE-4D36-AC6F-0BC009FEC1BC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53ACB3E5-1A29-4E57-BA73-A993EC9EA0E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4956465B-59A3-4FA6-827B-AE76F90DDA65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F96FBEC4-34AE-454A-97F8-401E1A3D6ECE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3D7FCC21-1397-4AD8-BB76-FFF48E2D01E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2F342398-39DE-4A73-B9E7-5641DFB73BC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1176561E-0166-4F56-947E-B4B29F7D0EA2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263E7A3F-4539-4986-8917-64AC1AD98558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5535ADA7-411B-4996-AAA7-60EF27FA980A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5BE4308A-6B21-4F5E-9A21-3513D2A08C54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611BDC16-FB98-4D83-8A7E-AD4DAFF6EF3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FE893383-2A13-41DF-BF48-A166A7F4619D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AAA423A5-48B5-4616-9CFD-2A1342AE59C4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12184A39-35A2-4B83-9E1D-1630AF4C361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645F4E5F-1284-4EF3-9654-5AEFE75BFA23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07FBEAF2-84A3-455C-A030-F6176A76050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8F50EFF3-6838-4611-B45C-9D70F6EAC35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2A100C3F-B637-443E-96C2-9EEFC93C11C9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B7780332-3E89-41F5-A6A4-214505A61D74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161997AE-4D56-4638-B09B-25127B9932F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DAE16FC0-CEAC-4948-BFB0-5DCC754C087C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BAD9AA3B-07C4-4B0D-852F-F8323A26AFC9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2DCA7160-4F0D-41B4-BD1B-6C3F3CCEC4F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280DC290-05D0-4468-97A9-D85476D3AA93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C4228656-CA23-4A36-B6B9-C8AA7E85586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1A19F0B6-8502-404B-8CDA-ECAD47ABAFD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5C38BE4E-BDEC-4675-B89E-C804D7B0D49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7D341199-829E-4C5B-91A8-BABCCE348E4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CD1588B7-D1E0-49E5-AA09-3B42C24837C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05957A4C-CF76-4639-B8BD-5019325C95F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D102ECC4-03A2-4E88-ABD6-D9FEEDF62BA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5AC4DB20-BF1F-4DF3-B622-A6F760E6B80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6E0DB6F2-CF9B-4866-933D-D66B6587278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9AAB3D5B-15D7-440A-B39D-1F38C641CC5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D60D19B3-5D35-47FF-93E5-C763789479E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27AFCAE2-FE5E-4E34-AE85-4F750C71781C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58CFAA66-E2F4-4DE6-B3F1-0AAE1F95269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9DBD5559-2614-4B98-A66A-3E273C3A63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04922A3C-16E8-4E94-A249-0ACBEA2789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14FE3899-1C0F-4C5F-9156-C0703F3A48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923E543A-91BD-4DD6-B41F-6D99F4B9EBFC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335FE46-0E8C-462C-8FCA-BB8BCDB6A9A0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7BB4C6F2-BDDB-49F0-8DA0-9DAC4B754433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1FC39470-FAB1-4C45-95F3-FA2D4CAD4B5F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6EAA6F01-D540-4467-82C9-A95465D61E48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F7D896A6-F761-4DBE-9979-2AAFC0D795FB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A60F41A3-37E6-40E3-9C0D-B71EF78D4B8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2598468F-1ECA-44E5-BB2D-79329BCC56E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BA5AE48A-B390-4D4E-BD15-C02478CEBD1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D8EAD9CE-EA1D-4289-B6F9-C54C5090EC59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3C8DC1CC-F21E-45B8-89A3-33632B658F7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870B3637-72BB-4A1C-A1AE-B82436D8D34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64BDCA46-9468-49C4-8768-A39D829BAE7C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8420A058-6329-4EC7-B944-1C39800DBAB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5B12849C-07D6-492B-8658-14C62B7AD2F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91886E35-4B61-4DE2-B7D5-82A8E0591295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CB6A09A2-85BA-4F9F-91E7-60D69D0FA69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36207FC1-16CA-4E81-994D-272EAE7445D5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DCE2F509-F9F1-45A7-8EC3-849A821D06C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CA6829FD-B448-47D3-B3C2-C2F0E8C48642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A635B5BF-084F-4CA5-8C49-DCF03EB04B5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D6F7D994-3138-45A7-A121-753BF9D8991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3D6601CD-D457-471E-95C8-A698EEDA4BB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29F9D13B-C967-4483-9B99-918303D0711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5B3E9FD0-6438-4F02-8AA1-08101C9996AE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13090E8D-3883-44F7-847E-79CB62AA80E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FC40E449-611B-4F1E-A1A2-139FF860125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5469ED61-2840-495F-8D5B-D5286BF174B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59CB6B63-4897-49DB-B24E-B8EB98319FF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09EC5C80-2132-498C-8745-9EF9AB3FA22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F2BBF053-17E4-468F-908D-1375766682B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E8277EB6-E52B-43F6-B7E2-56EA424BDEBB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4C4A2D1A-0D18-4690-B303-5291A0E1B472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B3570C39-1616-407F-BDF6-598A2364968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A147CBE7-FD48-4F89-ADD0-7D2E6750AC0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47F19B12-FFD6-4A87-89E0-5C6B2A76F18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DA16DAB5-4039-4C7C-A89B-9126B5E8A8A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63E71C3C-7F6F-41FE-8F89-7DFB140222F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2DF8B357-F245-4B5F-9A82-B579A78A7E2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E0A02EF6-4346-46B0-A417-175B1F4EE1C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883F3EFD-CD7D-4B4D-A77F-D247C4208B1A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75F32424-EC01-496F-BFB5-52DA6DCC1B98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AF8DCD3F-C8DA-47D6-A5FE-787E4688402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73C4E0E7-1B18-43C8-898D-AE9E47918E0F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60E8A581-EDDC-4BB9-9FFE-17DD03A3F6DE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9F76351E-C625-4C42-AFBE-330699F52C11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4B5C2459-5F35-4EF0-A7B3-2CFBA294434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6FD00958-8EED-476E-B967-5C21935EEDE5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7E49C868-B43E-4688-AB66-5DE84706F6CA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F2293CE0-D3FE-4090-99F6-FD319BA0B8A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12A94ECE-59E4-426A-B4FA-C3C95F2EC57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51E296C4-D82F-48BD-8C2B-6CBEB699148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FE28B144-6D5A-4721-BDEC-20B7C71FF8E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11C7625D-0731-4435-AB4A-4A068876BC05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06F7FBDE-60D7-419F-BC7E-D4AF87EF364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0736F058-F055-473B-AB8E-92A62B9E29DF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AEEEC873-AE76-4684-B9E8-68198A57FCB3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160EBEAB-D2CE-485E-929D-977062722C60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EEC548AD-15FC-4D46-B57F-4E95B14BA57F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E4C3F919-3B0B-4CF7-BD49-170D48A9AB36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C4F37AEA-9998-4C25-827C-631AB320D8C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077764DF-1AE7-4CE5-80DE-9DAEF9C85788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11A4C8C6-6566-46F1-B697-856BA2698031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CB10941B-8E31-4D24-84EC-FF6492F71569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2432CDBE-EB06-4052-ACF3-509ACDDAB206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F2087645-4B49-4010-8C77-507A7DA2BEE1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AB89F4AA-C589-43B9-B633-CAFB0CC00342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817441A1-A47D-4651-8AC9-30785FFEF2B9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7832CBEB-93DA-402C-8CE6-097B8D5274C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3EA15C18-F18E-4C6A-A369-88D314B53F5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CC7E4E47-C318-423B-A219-5CB71603049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1D0025B4-418D-4508-98ED-FFA031A84EAA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2F99E958-ED7A-4549-8C8A-BBAB9A1EABD4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D2D474D1-61D0-41C9-A4D7-927819438A8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44801B13-366C-4110-8E6D-1D55C1055874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77BD4B15-D254-46C9-A9CE-CDD51D7A0073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84277FD7-3C71-4E69-A31D-EC57B6EC9093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1055D73A-CB59-4E64-8BDB-7456181AFFA0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EF9DBA6C-04AD-40A3-B2A2-8CED37282AA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883E7AA5-4C50-478B-85A2-FAEB0D1DF29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6B685D83-BF03-4713-B9DF-FB8C8A044C9A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87BF8DE4-B32F-4EB8-B088-15553010E28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17FE8354-FA7D-4499-A39D-1BCE7DA6A096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F4101DA8-67E4-4019-B97C-AAB88DE90C62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13B8E069-54DE-44E2-A6A0-8FC13DB60F9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6E650366-CD87-4A18-A77B-218A0860C212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50093F78-2C2C-4D20-BC39-A23A4563C738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69FDA71D-6982-4A90-9B39-4DD10D1F90F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4F5DD0DC-ACAD-4FB1-9A11-52171FC4CD3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19602CAF-6B1A-4BA0-8A81-97016BDD65A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BCCFECC4-3CC4-42C2-88B1-DBF0ADE0A8F9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867970FD-418C-41E0-B4D3-7E37C3326E91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8628E8BE-B2FC-4B19-AC9F-F9E325C0380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094B83F1-3F19-48CC-8DAA-48C15790E21F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C6E58C2A-F98A-499F-81BE-4839A9E985D5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CE02F72B-C509-44C7-A883-C810FAB94EB7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ABACECBF-E44F-4F7C-B5A4-D7FEACA85C9B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F37BE28F-1C11-4CFE-96BF-BFF1333A5DC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79919784-C63B-4612-B91F-0AFECF6D9F6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2FEBCDE7-0CBA-4E2E-A3B9-45B65AAE8A1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90C26245-BC96-40F8-8A3A-6FF1AA90090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55BF7022-176B-42EB-AD38-71884D2AD3F7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CDE8102F-84EC-4FD4-B658-544258607BC8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55BA464F-5E83-433D-B8B2-B19B5DF33B44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440775EA-7229-4FAC-A856-934E26FE0BF5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3E7B168E-F71D-4017-8C6F-5D4C77FADD48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CC0F4871-41C2-4ED9-96C7-9790E980DE6E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8B2A847A-6115-438E-8C19-41E47B60C0B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159A844D-3A74-4B24-BE30-5C32880D20C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1FDBE6E0-47A7-48F2-A635-359182932437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706B05BB-44AA-46D3-BB74-70DA64E5E51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E48AD323-0EE9-4DCA-A8E6-5B2C62C3303E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D042C212-6EA9-4878-A92C-A6AF2254604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911AB5C9-97EA-4169-AAFD-0F37B982C61D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005CF88F-5481-44D3-AFE0-0B9604DFC14E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EF344C60-08A0-4F87-9363-BB3D5A3EEE4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EE803A4B-926D-4D3B-98A8-B9D364F3DC3F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0B956B61-E832-4658-83C4-6A7BE516A1D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9886AB16-308C-4DDC-93FC-741B921BF47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9598B78A-4B1A-40E9-8AE9-C01C004A4906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CB3808A6-EDAE-4B3E-9B90-F50649290EC3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B3F25D83-7DBE-44AF-B337-2EFE386A4EF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6DBD12CD-69E5-4DD5-AE64-4ABEF1C0E2FC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D379F6E0-0B3B-46AC-B54D-F31C13A22F22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B5EE86EE-4605-43AC-998A-4245FADE9816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D4E5902C-FE30-4AC5-A635-47AFD776DDC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AEB6E9C8-549B-41C7-A225-D192A6EEEA11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17A9C9EC-92D7-4519-B673-86FE85AF669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C3762617-8311-4679-8B37-2EC898981B6F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E041D7CD-8998-4D13-847B-C14625C0D117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9D067FC8-9262-414C-9F47-293E8209F39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F2E1D083-FA60-4232-88CE-83F4DAFF5DB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B0BBF5A4-068C-4B1D-8A77-FF69D0B9A08E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907DE6D8-D1F5-487F-86D7-1D27B529C65B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23EC19C3-8D38-4949-967A-4C7309DA8F2E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BBFE7635-4C82-4974-8341-D0F95700988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E88ACBB4-1ABE-4ECB-9FB9-EC9F7247FCF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03F79BFE-0690-49B9-B533-1FFC434D8711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579384D2-C8F5-4AE3-91F3-9564CA783377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A18D2C2F-69A7-4EEA-8637-CA89516B0F72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42197C2E-AE10-4F88-9B0D-5982B49EDF4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670F5B28-A889-403C-8203-578BECAA4CD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728CD417-701A-4BFC-B0C5-3FF019AEE7A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649994C7-2531-4725-875A-F6125FA0F76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3172B8E2-E525-4DC3-8C2B-A389726B3E15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847534FF-3D46-40FB-8D68-E4C39CDE160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AE4A062A-B780-471A-8D50-69A8020187C8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DCA4835E-369C-4D37-BBC6-F9E8F4A17BB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2F866733-2425-4713-9B40-9277BAD3883A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6F33C1B1-BA4E-4370-8622-D0106A3CE2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4037A20A-3198-4373-A531-A928448FE1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18DE4A70-46F4-4FAB-9B5E-F001FAE393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0CA94653-54AE-4C25-8636-6070A0270F7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5F16BCB8-6B9F-4960-B68A-C1692729B7E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F7E2D709-02DA-4B74-83A8-27BE72873435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2AFAE37A-95F2-463C-B88C-75202E24EA76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E13E43D5-3BB5-48B8-B25D-3597B8489D95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EC674FC6-09A0-4181-83F1-F1A417EF97F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ACCD1A3E-A892-4824-B456-CAC4966A5C9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3B0F0E9E-12E4-405A-B7A0-7E784B9D1DFF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78ACA311-4584-4691-891C-C22EC64E9591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D17C84A1-42F3-4C1E-8A3C-D1FA771B5F65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4C5854D6-D4BC-4A99-81C6-EEBE5B08410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79D36059-502C-49DD-A0F9-ED4780781B60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" name="CaixaDeTexto 13">
          <a:extLst>
            <a:ext uri="{FF2B5EF4-FFF2-40B4-BE49-F238E27FC236}">
              <a16:creationId xmlns:a16="http://schemas.microsoft.com/office/drawing/2014/main" id="{B242AABC-E000-446D-B07E-86EC1EC9E86F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C5E5A659-EAFA-4B76-97C7-18ADDECACF0D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AF9E8C16-8849-41F6-A3DC-873B3B51E45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38D1A69A-7CF2-4CC3-922E-F8858C151C2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2968433F-6E3E-476D-B967-E40A17247E62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9" name="CaixaDeTexto 18">
          <a:extLst>
            <a:ext uri="{FF2B5EF4-FFF2-40B4-BE49-F238E27FC236}">
              <a16:creationId xmlns:a16="http://schemas.microsoft.com/office/drawing/2014/main" id="{573D8C2C-9E22-4E85-81E3-AB7B2089B51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F45DD5FE-AF72-4961-868C-A2AFAAE9B6C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8C33BD74-1F77-4BE9-90C9-D08E512CAF4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3E72C729-B626-4888-9541-DE0EB4234CD0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4DD2257A-54C3-4829-A1CF-D02962D49BDD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87A0DA24-84AF-4D8F-AE14-DD45920FACC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982A25F9-692C-44AE-B75B-F93D1A0CFB0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ED1D6A09-E6CF-400A-BCBC-470004488D9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A72175C2-0F58-4332-9DFA-B4E1AD64A24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D06BB093-9488-44CF-B1BB-EBE281BA7FBF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1B08CA79-5BD5-48EE-AD67-B3F746F5D9D0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835F4C57-D9BD-4EA4-9A8E-D35D1A88444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5CFDC370-173A-4405-B7A2-637D329B569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2" name="CaixaDeTexto 31">
          <a:extLst>
            <a:ext uri="{FF2B5EF4-FFF2-40B4-BE49-F238E27FC236}">
              <a16:creationId xmlns:a16="http://schemas.microsoft.com/office/drawing/2014/main" id="{B1BF8859-E9EF-471E-84BC-7222A3ACC5F8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DBAE8BEE-CD3A-42C2-8BA2-3DB0B7FFCE2F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F58E8953-AC38-4557-B864-CF9C0A3F394E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111C6677-5FF9-4A0E-B63B-0BC882A5F9BB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6" name="CaixaDeTexto 35">
          <a:extLst>
            <a:ext uri="{FF2B5EF4-FFF2-40B4-BE49-F238E27FC236}">
              <a16:creationId xmlns:a16="http://schemas.microsoft.com/office/drawing/2014/main" id="{77235A5A-8CD1-4669-A5AA-82463DB906D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37" name="CaixaDeTexto 36">
          <a:extLst>
            <a:ext uri="{FF2B5EF4-FFF2-40B4-BE49-F238E27FC236}">
              <a16:creationId xmlns:a16="http://schemas.microsoft.com/office/drawing/2014/main" id="{5AC76EE4-CD92-4AD0-B65C-CE12D1ADDBC1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8" name="CaixaDeTexto 37">
          <a:extLst>
            <a:ext uri="{FF2B5EF4-FFF2-40B4-BE49-F238E27FC236}">
              <a16:creationId xmlns:a16="http://schemas.microsoft.com/office/drawing/2014/main" id="{9921974D-BCEF-4300-AA6C-BDC9FF59B47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39" name="CaixaDeTexto 38">
          <a:extLst>
            <a:ext uri="{FF2B5EF4-FFF2-40B4-BE49-F238E27FC236}">
              <a16:creationId xmlns:a16="http://schemas.microsoft.com/office/drawing/2014/main" id="{E9DE08D1-692C-4A5C-8FDE-99A4AC2A2187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0" name="CaixaDeTexto 39">
          <a:extLst>
            <a:ext uri="{FF2B5EF4-FFF2-40B4-BE49-F238E27FC236}">
              <a16:creationId xmlns:a16="http://schemas.microsoft.com/office/drawing/2014/main" id="{14179B3F-4727-4D93-AD12-6FD082120B58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222F68B8-87ED-4F23-BB4E-18A38375AF3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B571F525-EEBD-4EC8-B791-B88A39420E09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E9BB21C2-C2C2-44CA-B667-0DE880D8E7DB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4" name="CaixaDeTexto 43">
          <a:extLst>
            <a:ext uri="{FF2B5EF4-FFF2-40B4-BE49-F238E27FC236}">
              <a16:creationId xmlns:a16="http://schemas.microsoft.com/office/drawing/2014/main" id="{EB593373-0F07-4847-A09F-368FF2B1519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3E810EEB-ECA2-41B6-83D6-1755F223DE9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6" name="CaixaDeTexto 45">
          <a:extLst>
            <a:ext uri="{FF2B5EF4-FFF2-40B4-BE49-F238E27FC236}">
              <a16:creationId xmlns:a16="http://schemas.microsoft.com/office/drawing/2014/main" id="{9653BA16-B9A4-47DE-9156-17215CCA9405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47" name="CaixaDeTexto 46">
          <a:extLst>
            <a:ext uri="{FF2B5EF4-FFF2-40B4-BE49-F238E27FC236}">
              <a16:creationId xmlns:a16="http://schemas.microsoft.com/office/drawing/2014/main" id="{7EB6DE79-CFDB-4A25-AA8B-17B76B3FB54C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48" name="CaixaDeTexto 47">
          <a:extLst>
            <a:ext uri="{FF2B5EF4-FFF2-40B4-BE49-F238E27FC236}">
              <a16:creationId xmlns:a16="http://schemas.microsoft.com/office/drawing/2014/main" id="{A99C23B7-0241-405F-AD87-B8F79BF85DB1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49" name="CaixaDeTexto 48">
          <a:extLst>
            <a:ext uri="{FF2B5EF4-FFF2-40B4-BE49-F238E27FC236}">
              <a16:creationId xmlns:a16="http://schemas.microsoft.com/office/drawing/2014/main" id="{2FFC3677-5DC7-491F-8615-C6C80BC49E52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50" name="CaixaDeTexto 49">
          <a:extLst>
            <a:ext uri="{FF2B5EF4-FFF2-40B4-BE49-F238E27FC236}">
              <a16:creationId xmlns:a16="http://schemas.microsoft.com/office/drawing/2014/main" id="{D6410DBA-565C-4826-BBC0-28BED4618EF1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1" name="CaixaDeTexto 50">
          <a:extLst>
            <a:ext uri="{FF2B5EF4-FFF2-40B4-BE49-F238E27FC236}">
              <a16:creationId xmlns:a16="http://schemas.microsoft.com/office/drawing/2014/main" id="{DF48AB9D-6D4C-406B-A267-692580C496C7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52" name="CaixaDeTexto 51">
          <a:extLst>
            <a:ext uri="{FF2B5EF4-FFF2-40B4-BE49-F238E27FC236}">
              <a16:creationId xmlns:a16="http://schemas.microsoft.com/office/drawing/2014/main" id="{2715A9F0-2086-41A3-846F-7C8C1D139CB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3" name="CaixaDeTexto 52">
          <a:extLst>
            <a:ext uri="{FF2B5EF4-FFF2-40B4-BE49-F238E27FC236}">
              <a16:creationId xmlns:a16="http://schemas.microsoft.com/office/drawing/2014/main" id="{9E616064-C14C-4E57-B6EC-779B5DE86075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54" name="CaixaDeTexto 53">
          <a:extLst>
            <a:ext uri="{FF2B5EF4-FFF2-40B4-BE49-F238E27FC236}">
              <a16:creationId xmlns:a16="http://schemas.microsoft.com/office/drawing/2014/main" id="{2E177708-09B2-4029-A55E-ED9F24D9955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5" name="CaixaDeTexto 54">
          <a:extLst>
            <a:ext uri="{FF2B5EF4-FFF2-40B4-BE49-F238E27FC236}">
              <a16:creationId xmlns:a16="http://schemas.microsoft.com/office/drawing/2014/main" id="{AF44DA75-2398-4B27-8861-3B81455CEF5B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56" name="CaixaDeTexto 55">
          <a:extLst>
            <a:ext uri="{FF2B5EF4-FFF2-40B4-BE49-F238E27FC236}">
              <a16:creationId xmlns:a16="http://schemas.microsoft.com/office/drawing/2014/main" id="{6E90A0A5-7D83-4BBE-815D-B72DBBA2C00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7" name="CaixaDeTexto 56">
          <a:extLst>
            <a:ext uri="{FF2B5EF4-FFF2-40B4-BE49-F238E27FC236}">
              <a16:creationId xmlns:a16="http://schemas.microsoft.com/office/drawing/2014/main" id="{5F0F5293-BD4F-4E10-8433-301AB93AD16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58" name="CaixaDeTexto 57">
          <a:extLst>
            <a:ext uri="{FF2B5EF4-FFF2-40B4-BE49-F238E27FC236}">
              <a16:creationId xmlns:a16="http://schemas.microsoft.com/office/drawing/2014/main" id="{27DC6C12-7993-4FA1-A18B-A77CA98FFF29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59" name="CaixaDeTexto 58">
          <a:extLst>
            <a:ext uri="{FF2B5EF4-FFF2-40B4-BE49-F238E27FC236}">
              <a16:creationId xmlns:a16="http://schemas.microsoft.com/office/drawing/2014/main" id="{1F82A098-EE8D-4932-B946-2836918C171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60" name="CaixaDeTexto 59">
          <a:extLst>
            <a:ext uri="{FF2B5EF4-FFF2-40B4-BE49-F238E27FC236}">
              <a16:creationId xmlns:a16="http://schemas.microsoft.com/office/drawing/2014/main" id="{12E58958-87AF-4D01-84A1-66B6049EA823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1" name="CaixaDeTexto 60">
          <a:extLst>
            <a:ext uri="{FF2B5EF4-FFF2-40B4-BE49-F238E27FC236}">
              <a16:creationId xmlns:a16="http://schemas.microsoft.com/office/drawing/2014/main" id="{C7DE71FD-E633-41CC-999B-235F503F0EC4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62" name="CaixaDeTexto 61">
          <a:extLst>
            <a:ext uri="{FF2B5EF4-FFF2-40B4-BE49-F238E27FC236}">
              <a16:creationId xmlns:a16="http://schemas.microsoft.com/office/drawing/2014/main" id="{05EA5EC5-CE8B-4915-9F9E-70ADDB6A97ED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3" name="CaixaDeTexto 62">
          <a:extLst>
            <a:ext uri="{FF2B5EF4-FFF2-40B4-BE49-F238E27FC236}">
              <a16:creationId xmlns:a16="http://schemas.microsoft.com/office/drawing/2014/main" id="{094A8148-328B-4F67-807C-0986040DC16C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64" name="CaixaDeTexto 63">
          <a:extLst>
            <a:ext uri="{FF2B5EF4-FFF2-40B4-BE49-F238E27FC236}">
              <a16:creationId xmlns:a16="http://schemas.microsoft.com/office/drawing/2014/main" id="{496AACBA-6590-4BC8-9D7B-7AC8F266FDA9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5" name="CaixaDeTexto 64">
          <a:extLst>
            <a:ext uri="{FF2B5EF4-FFF2-40B4-BE49-F238E27FC236}">
              <a16:creationId xmlns:a16="http://schemas.microsoft.com/office/drawing/2014/main" id="{D2BE316E-942D-4902-B7CA-C6939B057DC0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66" name="CaixaDeTexto 65">
          <a:extLst>
            <a:ext uri="{FF2B5EF4-FFF2-40B4-BE49-F238E27FC236}">
              <a16:creationId xmlns:a16="http://schemas.microsoft.com/office/drawing/2014/main" id="{97825430-D412-4A03-91E2-D4699D434AA5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7" name="CaixaDeTexto 66">
          <a:extLst>
            <a:ext uri="{FF2B5EF4-FFF2-40B4-BE49-F238E27FC236}">
              <a16:creationId xmlns:a16="http://schemas.microsoft.com/office/drawing/2014/main" id="{6145B034-4C88-473C-9D6C-20E2B1E4F3A8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68" name="CaixaDeTexto 67">
          <a:extLst>
            <a:ext uri="{FF2B5EF4-FFF2-40B4-BE49-F238E27FC236}">
              <a16:creationId xmlns:a16="http://schemas.microsoft.com/office/drawing/2014/main" id="{4B647100-A7BA-457D-86C3-D69DCBCA91F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69" name="CaixaDeTexto 68">
          <a:extLst>
            <a:ext uri="{FF2B5EF4-FFF2-40B4-BE49-F238E27FC236}">
              <a16:creationId xmlns:a16="http://schemas.microsoft.com/office/drawing/2014/main" id="{E45261C5-84FE-4419-8E18-C66DED840AD6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0" name="CaixaDeTexto 69">
          <a:extLst>
            <a:ext uri="{FF2B5EF4-FFF2-40B4-BE49-F238E27FC236}">
              <a16:creationId xmlns:a16="http://schemas.microsoft.com/office/drawing/2014/main" id="{78258FC6-90D8-4601-BB44-EAFE43B1784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71" name="CaixaDeTexto 70">
          <a:extLst>
            <a:ext uri="{FF2B5EF4-FFF2-40B4-BE49-F238E27FC236}">
              <a16:creationId xmlns:a16="http://schemas.microsoft.com/office/drawing/2014/main" id="{342CE695-52B2-4D67-99FF-EDD0DFFF35EF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2" name="CaixaDeTexto 71">
          <a:extLst>
            <a:ext uri="{FF2B5EF4-FFF2-40B4-BE49-F238E27FC236}">
              <a16:creationId xmlns:a16="http://schemas.microsoft.com/office/drawing/2014/main" id="{BEA950A6-CDF3-4F85-9FCB-E85E8CB6BD67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73" name="CaixaDeTexto 72">
          <a:extLst>
            <a:ext uri="{FF2B5EF4-FFF2-40B4-BE49-F238E27FC236}">
              <a16:creationId xmlns:a16="http://schemas.microsoft.com/office/drawing/2014/main" id="{937DF833-9DC4-48F0-AC42-1D35ED226E18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4" name="CaixaDeTexto 73">
          <a:extLst>
            <a:ext uri="{FF2B5EF4-FFF2-40B4-BE49-F238E27FC236}">
              <a16:creationId xmlns:a16="http://schemas.microsoft.com/office/drawing/2014/main" id="{422BEFD5-A215-4268-AEFD-E1F6FAFA2A46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75" name="CaixaDeTexto 74">
          <a:extLst>
            <a:ext uri="{FF2B5EF4-FFF2-40B4-BE49-F238E27FC236}">
              <a16:creationId xmlns:a16="http://schemas.microsoft.com/office/drawing/2014/main" id="{AD8E5A4C-4E14-44E9-9C6A-711BF9F18481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6" name="CaixaDeTexto 75">
          <a:extLst>
            <a:ext uri="{FF2B5EF4-FFF2-40B4-BE49-F238E27FC236}">
              <a16:creationId xmlns:a16="http://schemas.microsoft.com/office/drawing/2014/main" id="{BBB552EF-5329-4A56-BBEE-E031873D8E90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77" name="CaixaDeTexto 76">
          <a:extLst>
            <a:ext uri="{FF2B5EF4-FFF2-40B4-BE49-F238E27FC236}">
              <a16:creationId xmlns:a16="http://schemas.microsoft.com/office/drawing/2014/main" id="{BCCBB4C9-72BD-492D-9187-CDE815D04411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8" name="CaixaDeTexto 77">
          <a:extLst>
            <a:ext uri="{FF2B5EF4-FFF2-40B4-BE49-F238E27FC236}">
              <a16:creationId xmlns:a16="http://schemas.microsoft.com/office/drawing/2014/main" id="{2FFBE4F4-892E-4BA9-91A8-5F737C9AD9FB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79" name="CaixaDeTexto 78">
          <a:extLst>
            <a:ext uri="{FF2B5EF4-FFF2-40B4-BE49-F238E27FC236}">
              <a16:creationId xmlns:a16="http://schemas.microsoft.com/office/drawing/2014/main" id="{C62486AD-6873-410D-84D2-591A877A6482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6FD9CA14-BC77-43B4-B461-E0017C2B25C3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C0438F90-8D06-4431-9907-0509AE4AA9D4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A60DB2D2-4D60-41D8-8F24-7B44D9AF2C00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B34C1901-D833-4A92-98FD-BC3175CA935E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4FEBF06F-18F4-4152-9437-830AB7AD08EA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2324E53E-3A86-4E46-AC58-C65F08D6FAAD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6" name="CaixaDeTexto 85">
          <a:extLst>
            <a:ext uri="{FF2B5EF4-FFF2-40B4-BE49-F238E27FC236}">
              <a16:creationId xmlns:a16="http://schemas.microsoft.com/office/drawing/2014/main" id="{87A3485B-9DBF-4830-A712-2F0D97E27ABA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87" name="CaixaDeTexto 86">
          <a:extLst>
            <a:ext uri="{FF2B5EF4-FFF2-40B4-BE49-F238E27FC236}">
              <a16:creationId xmlns:a16="http://schemas.microsoft.com/office/drawing/2014/main" id="{B2FB5442-97FE-47B9-B28C-487F6AC9A5A6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8" name="CaixaDeTexto 87">
          <a:extLst>
            <a:ext uri="{FF2B5EF4-FFF2-40B4-BE49-F238E27FC236}">
              <a16:creationId xmlns:a16="http://schemas.microsoft.com/office/drawing/2014/main" id="{93BD64D0-4554-42A1-9615-34708C7F9BF1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89" name="CaixaDeTexto 88">
          <a:extLst>
            <a:ext uri="{FF2B5EF4-FFF2-40B4-BE49-F238E27FC236}">
              <a16:creationId xmlns:a16="http://schemas.microsoft.com/office/drawing/2014/main" id="{36E4B06C-55BF-444F-9E91-7E5EBF27BB0C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0" name="CaixaDeTexto 89">
          <a:extLst>
            <a:ext uri="{FF2B5EF4-FFF2-40B4-BE49-F238E27FC236}">
              <a16:creationId xmlns:a16="http://schemas.microsoft.com/office/drawing/2014/main" id="{E8D6F0CF-65EF-4F89-8142-CA4A048D564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91" name="CaixaDeTexto 90">
          <a:extLst>
            <a:ext uri="{FF2B5EF4-FFF2-40B4-BE49-F238E27FC236}">
              <a16:creationId xmlns:a16="http://schemas.microsoft.com/office/drawing/2014/main" id="{83E5A60D-0FFC-42F6-B93C-8470FEEB93FB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2" name="CaixaDeTexto 91">
          <a:extLst>
            <a:ext uri="{FF2B5EF4-FFF2-40B4-BE49-F238E27FC236}">
              <a16:creationId xmlns:a16="http://schemas.microsoft.com/office/drawing/2014/main" id="{C0A2C44E-ECC4-4197-B8B9-A0AF70DEB64F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93" name="CaixaDeTexto 92">
          <a:extLst>
            <a:ext uri="{FF2B5EF4-FFF2-40B4-BE49-F238E27FC236}">
              <a16:creationId xmlns:a16="http://schemas.microsoft.com/office/drawing/2014/main" id="{65B9B211-BC36-4FE3-B067-D5123EF3C392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4" name="CaixaDeTexto 93">
          <a:extLst>
            <a:ext uri="{FF2B5EF4-FFF2-40B4-BE49-F238E27FC236}">
              <a16:creationId xmlns:a16="http://schemas.microsoft.com/office/drawing/2014/main" id="{FE86614C-1D8C-4B83-8FBA-2557A18F3F5E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95" name="CaixaDeTexto 94">
          <a:extLst>
            <a:ext uri="{FF2B5EF4-FFF2-40B4-BE49-F238E27FC236}">
              <a16:creationId xmlns:a16="http://schemas.microsoft.com/office/drawing/2014/main" id="{E0AD9191-C67D-4408-8040-989B1173D1B5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6" name="CaixaDeTexto 95">
          <a:extLst>
            <a:ext uri="{FF2B5EF4-FFF2-40B4-BE49-F238E27FC236}">
              <a16:creationId xmlns:a16="http://schemas.microsoft.com/office/drawing/2014/main" id="{BD8CC548-3E05-4BB5-B6FB-8B12C1F0B089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97" name="CaixaDeTexto 96">
          <a:extLst>
            <a:ext uri="{FF2B5EF4-FFF2-40B4-BE49-F238E27FC236}">
              <a16:creationId xmlns:a16="http://schemas.microsoft.com/office/drawing/2014/main" id="{B7305A30-D6CF-44B1-B8D8-86B38913601E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16</xdr:row>
      <xdr:rowOff>26105</xdr:rowOff>
    </xdr:from>
    <xdr:ext cx="65" cy="172227"/>
    <xdr:sp macro="" textlink="">
      <xdr:nvSpPr>
        <xdr:cNvPr id="98" name="CaixaDeTexto 97">
          <a:extLst>
            <a:ext uri="{FF2B5EF4-FFF2-40B4-BE49-F238E27FC236}">
              <a16:creationId xmlns:a16="http://schemas.microsoft.com/office/drawing/2014/main" id="{E2E0856F-BF51-4337-97F2-ED42BD6A139E}"/>
            </a:ext>
          </a:extLst>
        </xdr:cNvPr>
        <xdr:cNvSpPr txBox="1"/>
      </xdr:nvSpPr>
      <xdr:spPr>
        <a:xfrm>
          <a:off x="4019550" y="33217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99" name="CaixaDeTexto 98">
          <a:extLst>
            <a:ext uri="{FF2B5EF4-FFF2-40B4-BE49-F238E27FC236}">
              <a16:creationId xmlns:a16="http://schemas.microsoft.com/office/drawing/2014/main" id="{AA86E205-2893-4545-A72B-FC0FF8FA453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00" name="CaixaDeTexto 99">
          <a:extLst>
            <a:ext uri="{FF2B5EF4-FFF2-40B4-BE49-F238E27FC236}">
              <a16:creationId xmlns:a16="http://schemas.microsoft.com/office/drawing/2014/main" id="{1F6B7195-C927-4CF2-AD4F-ED97EFCADE3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1" name="CaixaDeTexto 100">
          <a:extLst>
            <a:ext uri="{FF2B5EF4-FFF2-40B4-BE49-F238E27FC236}">
              <a16:creationId xmlns:a16="http://schemas.microsoft.com/office/drawing/2014/main" id="{E110154E-E6E2-4C8F-B3CA-9BFCB0D439D9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02" name="CaixaDeTexto 101">
          <a:extLst>
            <a:ext uri="{FF2B5EF4-FFF2-40B4-BE49-F238E27FC236}">
              <a16:creationId xmlns:a16="http://schemas.microsoft.com/office/drawing/2014/main" id="{E0A34C8D-4121-45DB-BC50-0ACEC39271DF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3" name="CaixaDeTexto 102">
          <a:extLst>
            <a:ext uri="{FF2B5EF4-FFF2-40B4-BE49-F238E27FC236}">
              <a16:creationId xmlns:a16="http://schemas.microsoft.com/office/drawing/2014/main" id="{C3B84BEB-4A86-4273-94BC-CD09610FC1F7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04" name="CaixaDeTexto 103">
          <a:extLst>
            <a:ext uri="{FF2B5EF4-FFF2-40B4-BE49-F238E27FC236}">
              <a16:creationId xmlns:a16="http://schemas.microsoft.com/office/drawing/2014/main" id="{8C3E6108-DBBF-4651-99A1-332536A3E7E2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5" name="CaixaDeTexto 104">
          <a:extLst>
            <a:ext uri="{FF2B5EF4-FFF2-40B4-BE49-F238E27FC236}">
              <a16:creationId xmlns:a16="http://schemas.microsoft.com/office/drawing/2014/main" id="{567B837A-46CD-41FA-BDE3-A3A0B32A8548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06" name="CaixaDeTexto 105">
          <a:extLst>
            <a:ext uri="{FF2B5EF4-FFF2-40B4-BE49-F238E27FC236}">
              <a16:creationId xmlns:a16="http://schemas.microsoft.com/office/drawing/2014/main" id="{1C319D27-71FC-4F59-9A72-3ED7A84BB057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7" name="CaixaDeTexto 106">
          <a:extLst>
            <a:ext uri="{FF2B5EF4-FFF2-40B4-BE49-F238E27FC236}">
              <a16:creationId xmlns:a16="http://schemas.microsoft.com/office/drawing/2014/main" id="{A770B35B-2C4F-499B-8F68-5760AC8FC386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08" name="CaixaDeTexto 107">
          <a:extLst>
            <a:ext uri="{FF2B5EF4-FFF2-40B4-BE49-F238E27FC236}">
              <a16:creationId xmlns:a16="http://schemas.microsoft.com/office/drawing/2014/main" id="{2A968469-7A41-46A6-9199-BD997B6DB54A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09" name="CaixaDeTexto 108">
          <a:extLst>
            <a:ext uri="{FF2B5EF4-FFF2-40B4-BE49-F238E27FC236}">
              <a16:creationId xmlns:a16="http://schemas.microsoft.com/office/drawing/2014/main" id="{F66D5A2B-0B13-4437-806D-DE0396181C46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10" name="CaixaDeTexto 109">
          <a:extLst>
            <a:ext uri="{FF2B5EF4-FFF2-40B4-BE49-F238E27FC236}">
              <a16:creationId xmlns:a16="http://schemas.microsoft.com/office/drawing/2014/main" id="{B78AD825-8D75-42A8-8552-80D20705A3BA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1" name="CaixaDeTexto 110">
          <a:extLst>
            <a:ext uri="{FF2B5EF4-FFF2-40B4-BE49-F238E27FC236}">
              <a16:creationId xmlns:a16="http://schemas.microsoft.com/office/drawing/2014/main" id="{C3AD93EC-7FE5-4D87-A004-030468C51AE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12" name="CaixaDeTexto 111">
          <a:extLst>
            <a:ext uri="{FF2B5EF4-FFF2-40B4-BE49-F238E27FC236}">
              <a16:creationId xmlns:a16="http://schemas.microsoft.com/office/drawing/2014/main" id="{4BF65793-5E08-4C67-940E-644F9B4ADDA6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3" name="CaixaDeTexto 112">
          <a:extLst>
            <a:ext uri="{FF2B5EF4-FFF2-40B4-BE49-F238E27FC236}">
              <a16:creationId xmlns:a16="http://schemas.microsoft.com/office/drawing/2014/main" id="{1FC3D71A-3B2E-441F-9C52-B58091D00692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14" name="CaixaDeTexto 113">
          <a:extLst>
            <a:ext uri="{FF2B5EF4-FFF2-40B4-BE49-F238E27FC236}">
              <a16:creationId xmlns:a16="http://schemas.microsoft.com/office/drawing/2014/main" id="{3CED3EFB-340C-4011-99BB-5D9F8F8986EB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5" name="CaixaDeTexto 114">
          <a:extLst>
            <a:ext uri="{FF2B5EF4-FFF2-40B4-BE49-F238E27FC236}">
              <a16:creationId xmlns:a16="http://schemas.microsoft.com/office/drawing/2014/main" id="{CF67D329-D714-4106-A885-B4FE1E4866E7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10</xdr:row>
      <xdr:rowOff>26105</xdr:rowOff>
    </xdr:from>
    <xdr:ext cx="65" cy="172227"/>
    <xdr:sp macro="" textlink="">
      <xdr:nvSpPr>
        <xdr:cNvPr id="116" name="CaixaDeTexto 115">
          <a:extLst>
            <a:ext uri="{FF2B5EF4-FFF2-40B4-BE49-F238E27FC236}">
              <a16:creationId xmlns:a16="http://schemas.microsoft.com/office/drawing/2014/main" id="{04B49A59-F8F5-46FD-88E5-DD5DB6E579C9}"/>
            </a:ext>
          </a:extLst>
        </xdr:cNvPr>
        <xdr:cNvSpPr txBox="1"/>
      </xdr:nvSpPr>
      <xdr:spPr>
        <a:xfrm>
          <a:off x="4019550" y="20644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7" name="CaixaDeTexto 116">
          <a:extLst>
            <a:ext uri="{FF2B5EF4-FFF2-40B4-BE49-F238E27FC236}">
              <a16:creationId xmlns:a16="http://schemas.microsoft.com/office/drawing/2014/main" id="{BB2EE0EC-8B0E-470F-BE6B-D242A84686D1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11</xdr:row>
      <xdr:rowOff>26105</xdr:rowOff>
    </xdr:from>
    <xdr:ext cx="65" cy="172227"/>
    <xdr:sp macro="" textlink="">
      <xdr:nvSpPr>
        <xdr:cNvPr id="118" name="CaixaDeTexto 117">
          <a:extLst>
            <a:ext uri="{FF2B5EF4-FFF2-40B4-BE49-F238E27FC236}">
              <a16:creationId xmlns:a16="http://schemas.microsoft.com/office/drawing/2014/main" id="{0B81C870-A40D-4960-9C11-7A322772F1D7}"/>
            </a:ext>
          </a:extLst>
        </xdr:cNvPr>
        <xdr:cNvSpPr txBox="1"/>
      </xdr:nvSpPr>
      <xdr:spPr>
        <a:xfrm>
          <a:off x="4019550" y="22740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19" name="CaixaDeTexto 118">
          <a:extLst>
            <a:ext uri="{FF2B5EF4-FFF2-40B4-BE49-F238E27FC236}">
              <a16:creationId xmlns:a16="http://schemas.microsoft.com/office/drawing/2014/main" id="{C15D2671-0AE8-45D1-98E1-795B8BE69B73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12</xdr:row>
      <xdr:rowOff>26105</xdr:rowOff>
    </xdr:from>
    <xdr:ext cx="65" cy="172227"/>
    <xdr:sp macro="" textlink="">
      <xdr:nvSpPr>
        <xdr:cNvPr id="120" name="CaixaDeTexto 119">
          <a:extLst>
            <a:ext uri="{FF2B5EF4-FFF2-40B4-BE49-F238E27FC236}">
              <a16:creationId xmlns:a16="http://schemas.microsoft.com/office/drawing/2014/main" id="{456BFB07-8386-48BE-88A6-2F29F55A29DE}"/>
            </a:ext>
          </a:extLst>
        </xdr:cNvPr>
        <xdr:cNvSpPr txBox="1"/>
      </xdr:nvSpPr>
      <xdr:spPr>
        <a:xfrm>
          <a:off x="4019550" y="24835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1" name="CaixaDeTexto 120">
          <a:extLst>
            <a:ext uri="{FF2B5EF4-FFF2-40B4-BE49-F238E27FC236}">
              <a16:creationId xmlns:a16="http://schemas.microsoft.com/office/drawing/2014/main" id="{2ECA46A5-8C97-483A-BA30-35C565FC7A1B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13</xdr:row>
      <xdr:rowOff>26105</xdr:rowOff>
    </xdr:from>
    <xdr:ext cx="65" cy="172227"/>
    <xdr:sp macro="" textlink="">
      <xdr:nvSpPr>
        <xdr:cNvPr id="122" name="CaixaDeTexto 121">
          <a:extLst>
            <a:ext uri="{FF2B5EF4-FFF2-40B4-BE49-F238E27FC236}">
              <a16:creationId xmlns:a16="http://schemas.microsoft.com/office/drawing/2014/main" id="{07415662-6401-45FA-A635-D511964EC65A}"/>
            </a:ext>
          </a:extLst>
        </xdr:cNvPr>
        <xdr:cNvSpPr txBox="1"/>
      </xdr:nvSpPr>
      <xdr:spPr>
        <a:xfrm>
          <a:off x="4019550" y="2693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3" name="CaixaDeTexto 122">
          <a:extLst>
            <a:ext uri="{FF2B5EF4-FFF2-40B4-BE49-F238E27FC236}">
              <a16:creationId xmlns:a16="http://schemas.microsoft.com/office/drawing/2014/main" id="{9E5CC94F-34E9-45A7-9CCC-E75177AB1DF1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14</xdr:row>
      <xdr:rowOff>26105</xdr:rowOff>
    </xdr:from>
    <xdr:ext cx="65" cy="172227"/>
    <xdr:sp macro="" textlink="">
      <xdr:nvSpPr>
        <xdr:cNvPr id="124" name="CaixaDeTexto 123">
          <a:extLst>
            <a:ext uri="{FF2B5EF4-FFF2-40B4-BE49-F238E27FC236}">
              <a16:creationId xmlns:a16="http://schemas.microsoft.com/office/drawing/2014/main" id="{3602CC71-64BA-4196-97CF-4B8D0CDC6C9D}"/>
            </a:ext>
          </a:extLst>
        </xdr:cNvPr>
        <xdr:cNvSpPr txBox="1"/>
      </xdr:nvSpPr>
      <xdr:spPr>
        <a:xfrm>
          <a:off x="4019550" y="29026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5" name="CaixaDeTexto 124">
          <a:extLst>
            <a:ext uri="{FF2B5EF4-FFF2-40B4-BE49-F238E27FC236}">
              <a16:creationId xmlns:a16="http://schemas.microsoft.com/office/drawing/2014/main" id="{EF34208B-AE01-48B7-8003-16F2A3DAE8B5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15</xdr:row>
      <xdr:rowOff>26105</xdr:rowOff>
    </xdr:from>
    <xdr:ext cx="65" cy="172227"/>
    <xdr:sp macro="" textlink="">
      <xdr:nvSpPr>
        <xdr:cNvPr id="126" name="CaixaDeTexto 125">
          <a:extLst>
            <a:ext uri="{FF2B5EF4-FFF2-40B4-BE49-F238E27FC236}">
              <a16:creationId xmlns:a16="http://schemas.microsoft.com/office/drawing/2014/main" id="{C9259A20-7E7D-4DAE-AE9E-352E01EDAE7A}"/>
            </a:ext>
          </a:extLst>
        </xdr:cNvPr>
        <xdr:cNvSpPr txBox="1"/>
      </xdr:nvSpPr>
      <xdr:spPr>
        <a:xfrm>
          <a:off x="4019550" y="31122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7" name="CaixaDeTexto 126">
          <a:extLst>
            <a:ext uri="{FF2B5EF4-FFF2-40B4-BE49-F238E27FC236}">
              <a16:creationId xmlns:a16="http://schemas.microsoft.com/office/drawing/2014/main" id="{1099BD9E-5D29-4BF0-B73B-BAC8F836EC28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9</xdr:row>
      <xdr:rowOff>26105</xdr:rowOff>
    </xdr:from>
    <xdr:ext cx="65" cy="172227"/>
    <xdr:sp macro="" textlink="">
      <xdr:nvSpPr>
        <xdr:cNvPr id="128" name="CaixaDeTexto 127">
          <a:extLst>
            <a:ext uri="{FF2B5EF4-FFF2-40B4-BE49-F238E27FC236}">
              <a16:creationId xmlns:a16="http://schemas.microsoft.com/office/drawing/2014/main" id="{C4D2BF01-D14B-4C57-9FAA-36DC020534F7}"/>
            </a:ext>
          </a:extLst>
        </xdr:cNvPr>
        <xdr:cNvSpPr txBox="1"/>
      </xdr:nvSpPr>
      <xdr:spPr>
        <a:xfrm>
          <a:off x="4019550" y="18549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29" name="CaixaDeTexto 128">
          <a:extLst>
            <a:ext uri="{FF2B5EF4-FFF2-40B4-BE49-F238E27FC236}">
              <a16:creationId xmlns:a16="http://schemas.microsoft.com/office/drawing/2014/main" id="{50880BFF-01ED-4B75-AB2B-A8D36CD2BEF2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30" name="CaixaDeTexto 129">
          <a:extLst>
            <a:ext uri="{FF2B5EF4-FFF2-40B4-BE49-F238E27FC236}">
              <a16:creationId xmlns:a16="http://schemas.microsoft.com/office/drawing/2014/main" id="{538C5C3F-CE58-45BC-BE80-16700421DD6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1" name="CaixaDeTexto 130">
          <a:extLst>
            <a:ext uri="{FF2B5EF4-FFF2-40B4-BE49-F238E27FC236}">
              <a16:creationId xmlns:a16="http://schemas.microsoft.com/office/drawing/2014/main" id="{1F6E63E0-7BFA-4727-BFC1-EA624EDE65C4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3</xdr:row>
      <xdr:rowOff>26105</xdr:rowOff>
    </xdr:from>
    <xdr:ext cx="65" cy="172227"/>
    <xdr:sp macro="" textlink="">
      <xdr:nvSpPr>
        <xdr:cNvPr id="132" name="CaixaDeTexto 131">
          <a:extLst>
            <a:ext uri="{FF2B5EF4-FFF2-40B4-BE49-F238E27FC236}">
              <a16:creationId xmlns:a16="http://schemas.microsoft.com/office/drawing/2014/main" id="{4D4478D2-9535-4C5C-B8A3-4BBF5AA28EAB}"/>
            </a:ext>
          </a:extLst>
        </xdr:cNvPr>
        <xdr:cNvSpPr txBox="1"/>
      </xdr:nvSpPr>
      <xdr:spPr>
        <a:xfrm>
          <a:off x="4019550" y="5976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3" name="CaixaDeTexto 132">
          <a:extLst>
            <a:ext uri="{FF2B5EF4-FFF2-40B4-BE49-F238E27FC236}">
              <a16:creationId xmlns:a16="http://schemas.microsoft.com/office/drawing/2014/main" id="{17025D2F-E00A-449C-9EB2-1262DC813DCA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4</xdr:row>
      <xdr:rowOff>26105</xdr:rowOff>
    </xdr:from>
    <xdr:ext cx="65" cy="172227"/>
    <xdr:sp macro="" textlink="">
      <xdr:nvSpPr>
        <xdr:cNvPr id="134" name="CaixaDeTexto 133">
          <a:extLst>
            <a:ext uri="{FF2B5EF4-FFF2-40B4-BE49-F238E27FC236}">
              <a16:creationId xmlns:a16="http://schemas.microsoft.com/office/drawing/2014/main" id="{2CE5DB2E-66F8-4CCA-8BEC-DB96DAB41809}"/>
            </a:ext>
          </a:extLst>
        </xdr:cNvPr>
        <xdr:cNvSpPr txBox="1"/>
      </xdr:nvSpPr>
      <xdr:spPr>
        <a:xfrm>
          <a:off x="4019550" y="8071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5" name="CaixaDeTexto 134">
          <a:extLst>
            <a:ext uri="{FF2B5EF4-FFF2-40B4-BE49-F238E27FC236}">
              <a16:creationId xmlns:a16="http://schemas.microsoft.com/office/drawing/2014/main" id="{896B7E6B-B49B-47E3-8D5F-A070B827D526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5</xdr:row>
      <xdr:rowOff>26105</xdr:rowOff>
    </xdr:from>
    <xdr:ext cx="65" cy="172227"/>
    <xdr:sp macro="" textlink="">
      <xdr:nvSpPr>
        <xdr:cNvPr id="136" name="CaixaDeTexto 135">
          <a:extLst>
            <a:ext uri="{FF2B5EF4-FFF2-40B4-BE49-F238E27FC236}">
              <a16:creationId xmlns:a16="http://schemas.microsoft.com/office/drawing/2014/main" id="{FF9C9987-63E4-42EF-AD6A-F46526ACC96D}"/>
            </a:ext>
          </a:extLst>
        </xdr:cNvPr>
        <xdr:cNvSpPr txBox="1"/>
      </xdr:nvSpPr>
      <xdr:spPr>
        <a:xfrm>
          <a:off x="4019550" y="10167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7" name="CaixaDeTexto 136">
          <a:extLst>
            <a:ext uri="{FF2B5EF4-FFF2-40B4-BE49-F238E27FC236}">
              <a16:creationId xmlns:a16="http://schemas.microsoft.com/office/drawing/2014/main" id="{5698E59B-0645-4769-B266-DC11AF7E8004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6</xdr:row>
      <xdr:rowOff>26105</xdr:rowOff>
    </xdr:from>
    <xdr:ext cx="65" cy="172227"/>
    <xdr:sp macro="" textlink="">
      <xdr:nvSpPr>
        <xdr:cNvPr id="138" name="CaixaDeTexto 137">
          <a:extLst>
            <a:ext uri="{FF2B5EF4-FFF2-40B4-BE49-F238E27FC236}">
              <a16:creationId xmlns:a16="http://schemas.microsoft.com/office/drawing/2014/main" id="{0C9527B5-3F15-467C-9176-119FB934D60C}"/>
            </a:ext>
          </a:extLst>
        </xdr:cNvPr>
        <xdr:cNvSpPr txBox="1"/>
      </xdr:nvSpPr>
      <xdr:spPr>
        <a:xfrm>
          <a:off x="4019550" y="12262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39" name="CaixaDeTexto 138">
          <a:extLst>
            <a:ext uri="{FF2B5EF4-FFF2-40B4-BE49-F238E27FC236}">
              <a16:creationId xmlns:a16="http://schemas.microsoft.com/office/drawing/2014/main" id="{81944628-C684-441D-B094-3F88231A939F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7</xdr:row>
      <xdr:rowOff>26105</xdr:rowOff>
    </xdr:from>
    <xdr:ext cx="65" cy="172227"/>
    <xdr:sp macro="" textlink="">
      <xdr:nvSpPr>
        <xdr:cNvPr id="140" name="CaixaDeTexto 139">
          <a:extLst>
            <a:ext uri="{FF2B5EF4-FFF2-40B4-BE49-F238E27FC236}">
              <a16:creationId xmlns:a16="http://schemas.microsoft.com/office/drawing/2014/main" id="{AED027DA-8FE0-44B0-9277-6698483D9119}"/>
            </a:ext>
          </a:extLst>
        </xdr:cNvPr>
        <xdr:cNvSpPr txBox="1"/>
      </xdr:nvSpPr>
      <xdr:spPr>
        <a:xfrm>
          <a:off x="4019550" y="14358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1" name="CaixaDeTexto 140">
          <a:extLst>
            <a:ext uri="{FF2B5EF4-FFF2-40B4-BE49-F238E27FC236}">
              <a16:creationId xmlns:a16="http://schemas.microsoft.com/office/drawing/2014/main" id="{0DDA4FCE-34F2-4E3D-AF85-186F616A4B14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8</xdr:row>
      <xdr:rowOff>26105</xdr:rowOff>
    </xdr:from>
    <xdr:ext cx="65" cy="172227"/>
    <xdr:sp macro="" textlink="">
      <xdr:nvSpPr>
        <xdr:cNvPr id="142" name="CaixaDeTexto 141">
          <a:extLst>
            <a:ext uri="{FF2B5EF4-FFF2-40B4-BE49-F238E27FC236}">
              <a16:creationId xmlns:a16="http://schemas.microsoft.com/office/drawing/2014/main" id="{2C6C09BF-BE94-4C60-9AAB-B3E7AA1C15E6}"/>
            </a:ext>
          </a:extLst>
        </xdr:cNvPr>
        <xdr:cNvSpPr txBox="1"/>
      </xdr:nvSpPr>
      <xdr:spPr>
        <a:xfrm>
          <a:off x="4019550" y="1645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3" name="CaixaDeTexto 142">
          <a:extLst>
            <a:ext uri="{FF2B5EF4-FFF2-40B4-BE49-F238E27FC236}">
              <a16:creationId xmlns:a16="http://schemas.microsoft.com/office/drawing/2014/main" id="{7DAA77E7-37D0-4E4E-B3CC-088B83A1DF8E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4" name="CaixaDeTexto 143">
          <a:extLst>
            <a:ext uri="{FF2B5EF4-FFF2-40B4-BE49-F238E27FC236}">
              <a16:creationId xmlns:a16="http://schemas.microsoft.com/office/drawing/2014/main" id="{B99B8887-4839-4922-AA6E-B64974CAAF4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5" name="CaixaDeTexto 144">
          <a:extLst>
            <a:ext uri="{FF2B5EF4-FFF2-40B4-BE49-F238E27FC236}">
              <a16:creationId xmlns:a16="http://schemas.microsoft.com/office/drawing/2014/main" id="{D1CC5E2C-3580-48EE-A852-8D063F1CBDF9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6" name="CaixaDeTexto 145">
          <a:extLst>
            <a:ext uri="{FF2B5EF4-FFF2-40B4-BE49-F238E27FC236}">
              <a16:creationId xmlns:a16="http://schemas.microsoft.com/office/drawing/2014/main" id="{BCC63CD3-CED7-4E7C-A6EA-1EDAE3268466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7" name="CaixaDeTexto 146">
          <a:extLst>
            <a:ext uri="{FF2B5EF4-FFF2-40B4-BE49-F238E27FC236}">
              <a16:creationId xmlns:a16="http://schemas.microsoft.com/office/drawing/2014/main" id="{B94F7B02-EB65-4817-B0F6-B84DF6DE833D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8" name="CaixaDeTexto 147">
          <a:extLst>
            <a:ext uri="{FF2B5EF4-FFF2-40B4-BE49-F238E27FC236}">
              <a16:creationId xmlns:a16="http://schemas.microsoft.com/office/drawing/2014/main" id="{96C652A0-FFEE-401D-A711-F33AFA172A80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49" name="CaixaDeTexto 148">
          <a:extLst>
            <a:ext uri="{FF2B5EF4-FFF2-40B4-BE49-F238E27FC236}">
              <a16:creationId xmlns:a16="http://schemas.microsoft.com/office/drawing/2014/main" id="{EABE3470-198B-4886-97DC-9A23B1B9EBB1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3</xdr:col>
      <xdr:colOff>0</xdr:colOff>
      <xdr:row>2</xdr:row>
      <xdr:rowOff>26105</xdr:rowOff>
    </xdr:from>
    <xdr:ext cx="65" cy="172227"/>
    <xdr:sp macro="" textlink="">
      <xdr:nvSpPr>
        <xdr:cNvPr id="150" name="CaixaDeTexto 149">
          <a:extLst>
            <a:ext uri="{FF2B5EF4-FFF2-40B4-BE49-F238E27FC236}">
              <a16:creationId xmlns:a16="http://schemas.microsoft.com/office/drawing/2014/main" id="{F7A674A6-5075-4B31-BBE2-93FA6DCD4FD4}"/>
            </a:ext>
          </a:extLst>
        </xdr:cNvPr>
        <xdr:cNvSpPr txBox="1"/>
      </xdr:nvSpPr>
      <xdr:spPr>
        <a:xfrm>
          <a:off x="4019550" y="40710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t-BR" sz="1100"/>
        </a:p>
      </xdr:txBody>
    </xdr:sp>
    <xdr:clientData/>
  </xdr:oneCellAnchor>
  <xdr:twoCellAnchor>
    <xdr:from>
      <xdr:col>16</xdr:col>
      <xdr:colOff>130515</xdr:colOff>
      <xdr:row>14</xdr:row>
      <xdr:rowOff>183583</xdr:rowOff>
    </xdr:from>
    <xdr:to>
      <xdr:col>23</xdr:col>
      <xdr:colOff>424203</xdr:colOff>
      <xdr:row>27</xdr:row>
      <xdr:rowOff>178821</xdr:rowOff>
    </xdr:to>
    <xdr:graphicFrame macro="">
      <xdr:nvGraphicFramePr>
        <xdr:cNvPr id="151" name="Gráfico 150">
          <a:extLst>
            <a:ext uri="{FF2B5EF4-FFF2-40B4-BE49-F238E27FC236}">
              <a16:creationId xmlns:a16="http://schemas.microsoft.com/office/drawing/2014/main" id="{DD174368-2EB7-44CD-9561-305FF07050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119630</xdr:colOff>
      <xdr:row>0</xdr:row>
      <xdr:rowOff>84931</xdr:rowOff>
    </xdr:from>
    <xdr:to>
      <xdr:col>23</xdr:col>
      <xdr:colOff>413317</xdr:colOff>
      <xdr:row>14</xdr:row>
      <xdr:rowOff>57943</xdr:rowOff>
    </xdr:to>
    <xdr:graphicFrame macro="">
      <xdr:nvGraphicFramePr>
        <xdr:cNvPr id="152" name="Gráfico 151">
          <a:extLst>
            <a:ext uri="{FF2B5EF4-FFF2-40B4-BE49-F238E27FC236}">
              <a16:creationId xmlns:a16="http://schemas.microsoft.com/office/drawing/2014/main" id="{A545CA95-933F-424A-83A4-2A1FADA340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158749</xdr:colOff>
      <xdr:row>28</xdr:row>
      <xdr:rowOff>198438</xdr:rowOff>
    </xdr:from>
    <xdr:to>
      <xdr:col>23</xdr:col>
      <xdr:colOff>436562</xdr:colOff>
      <xdr:row>48</xdr:row>
      <xdr:rowOff>23812</xdr:rowOff>
    </xdr:to>
    <xdr:graphicFrame macro="">
      <xdr:nvGraphicFramePr>
        <xdr:cNvPr id="153" name="Gráfico 152">
          <a:extLst>
            <a:ext uri="{FF2B5EF4-FFF2-40B4-BE49-F238E27FC236}">
              <a16:creationId xmlns:a16="http://schemas.microsoft.com/office/drawing/2014/main" id="{324E97A6-07B0-431B-AC00-2978B3DB1D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b9a5c513be41fc6e/AGR/TARIFAS/Componente%20Q%20-%20FATOR%20X/Modelo_MenuRegulation_Complet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Menu"/>
    </sheetNames>
    <sheetDataSet>
      <sheetData sheetId="0"/>
      <sheetData sheetId="1">
        <row r="3">
          <cell r="E3">
            <v>83.848446340893119</v>
          </cell>
          <cell r="F3">
            <v>84.268172643117381</v>
          </cell>
          <cell r="G3">
            <v>84.689999999999984</v>
          </cell>
          <cell r="H3">
            <v>85.113938928943938</v>
          </cell>
          <cell r="I3">
            <v>85.54</v>
          </cell>
          <cell r="J3">
            <v>85.968193836130197</v>
          </cell>
          <cell r="K3">
            <v>86.398531113472686</v>
          </cell>
          <cell r="L3">
            <v>86.831022561607966</v>
          </cell>
          <cell r="M3">
            <v>87.265678963826375</v>
          </cell>
          <cell r="N3">
            <v>87.702511157396941</v>
          </cell>
        </row>
        <row r="4">
          <cell r="E4">
            <v>-6.4000000000000012E-3</v>
          </cell>
          <cell r="F4">
            <v>-6.4500000000000009E-3</v>
          </cell>
          <cell r="G4">
            <v>-6.5000000000000014E-3</v>
          </cell>
          <cell r="H4">
            <v>-6.5500000000000011E-3</v>
          </cell>
          <cell r="I4">
            <v>-6.6000000000000008E-3</v>
          </cell>
          <cell r="J4">
            <v>-6.6500000000000014E-3</v>
          </cell>
          <cell r="K4">
            <v>-6.7000000000000011E-3</v>
          </cell>
          <cell r="L4">
            <v>-6.7500000000000017E-3</v>
          </cell>
          <cell r="M4">
            <v>-6.8000000000000014E-3</v>
          </cell>
          <cell r="N4">
            <v>-6.8500000000000019E-3</v>
          </cell>
        </row>
        <row r="5">
          <cell r="E5">
            <v>-5.850000000000001E-3</v>
          </cell>
          <cell r="F5">
            <v>-5.9000000000000007E-3</v>
          </cell>
          <cell r="G5">
            <v>-5.9500000000000013E-3</v>
          </cell>
          <cell r="H5">
            <v>-6.000000000000001E-3</v>
          </cell>
          <cell r="I5">
            <v>-6.0500000000000007E-3</v>
          </cell>
          <cell r="J5">
            <v>-6.1000000000000013E-3</v>
          </cell>
          <cell r="K5">
            <v>-6.150000000000001E-3</v>
          </cell>
          <cell r="L5">
            <v>-6.2000000000000015E-3</v>
          </cell>
          <cell r="M5">
            <v>-6.2500000000000012E-3</v>
          </cell>
          <cell r="N5">
            <v>-6.3000000000000018E-3</v>
          </cell>
        </row>
        <row r="6">
          <cell r="E6">
            <v>-5.3000000000000009E-3</v>
          </cell>
          <cell r="F6">
            <v>-5.3500000000000006E-3</v>
          </cell>
          <cell r="G6">
            <v>-5.4000000000000012E-3</v>
          </cell>
          <cell r="H6">
            <v>-5.4500000000000009E-3</v>
          </cell>
          <cell r="I6">
            <v>-5.5000000000000005E-3</v>
          </cell>
          <cell r="J6">
            <v>-5.5500000000000011E-3</v>
          </cell>
          <cell r="K6">
            <v>-5.6000000000000008E-3</v>
          </cell>
          <cell r="L6">
            <v>-5.6500000000000014E-3</v>
          </cell>
          <cell r="M6">
            <v>-5.7000000000000011E-3</v>
          </cell>
          <cell r="N6">
            <v>-5.7500000000000016E-3</v>
          </cell>
        </row>
        <row r="7">
          <cell r="E7">
            <v>-4.7500000000000007E-3</v>
          </cell>
          <cell r="F7">
            <v>-4.8000000000000004E-3</v>
          </cell>
          <cell r="G7">
            <v>-4.850000000000001E-3</v>
          </cell>
          <cell r="H7">
            <v>-4.9000000000000007E-3</v>
          </cell>
          <cell r="I7">
            <v>-4.9500000000000004E-3</v>
          </cell>
          <cell r="J7">
            <v>-5.000000000000001E-3</v>
          </cell>
          <cell r="K7">
            <v>-5.0500000000000007E-3</v>
          </cell>
          <cell r="L7">
            <v>-5.1000000000000012E-3</v>
          </cell>
          <cell r="M7">
            <v>-5.1500000000000009E-3</v>
          </cell>
          <cell r="N7">
            <v>-5.2000000000000015E-3</v>
          </cell>
        </row>
        <row r="8">
          <cell r="E8">
            <v>-4.2000000000000006E-3</v>
          </cell>
          <cell r="F8">
            <v>-4.2500000000000003E-3</v>
          </cell>
          <cell r="G8">
            <v>-4.3000000000000009E-3</v>
          </cell>
          <cell r="H8">
            <v>-4.3500000000000006E-3</v>
          </cell>
          <cell r="I8">
            <v>-4.4000000000000003E-3</v>
          </cell>
          <cell r="J8">
            <v>-4.4500000000000008E-3</v>
          </cell>
          <cell r="K8">
            <v>-4.5000000000000005E-3</v>
          </cell>
          <cell r="L8">
            <v>-4.5500000000000011E-3</v>
          </cell>
          <cell r="M8">
            <v>-4.6000000000000008E-3</v>
          </cell>
          <cell r="N8">
            <v>-4.6500000000000014E-3</v>
          </cell>
        </row>
        <row r="9">
          <cell r="E9">
            <v>-3.6500000000000005E-3</v>
          </cell>
          <cell r="F9">
            <v>-3.7000000000000006E-3</v>
          </cell>
          <cell r="G9">
            <v>-3.7500000000000007E-3</v>
          </cell>
          <cell r="H9">
            <v>-3.8000000000000009E-3</v>
          </cell>
          <cell r="I9">
            <v>-3.8500000000000006E-3</v>
          </cell>
          <cell r="J9">
            <v>-3.9000000000000007E-3</v>
          </cell>
          <cell r="K9">
            <v>-3.9500000000000004E-3</v>
          </cell>
          <cell r="L9">
            <v>-4.000000000000001E-3</v>
          </cell>
          <cell r="M9">
            <v>-4.0500000000000006E-3</v>
          </cell>
          <cell r="N9">
            <v>-4.1000000000000012E-3</v>
          </cell>
        </row>
        <row r="10">
          <cell r="E10">
            <v>-3.1000000000000003E-3</v>
          </cell>
          <cell r="F10">
            <v>-3.1500000000000005E-3</v>
          </cell>
          <cell r="G10">
            <v>-3.2000000000000006E-3</v>
          </cell>
          <cell r="H10">
            <v>-3.2500000000000007E-3</v>
          </cell>
          <cell r="I10">
            <v>-3.3000000000000004E-3</v>
          </cell>
          <cell r="J10">
            <v>-3.3500000000000005E-3</v>
          </cell>
          <cell r="K10">
            <v>-3.4000000000000007E-3</v>
          </cell>
          <cell r="L10">
            <v>-3.4500000000000008E-3</v>
          </cell>
          <cell r="M10">
            <v>-3.5000000000000009E-3</v>
          </cell>
          <cell r="N10">
            <v>-3.5500000000000011E-3</v>
          </cell>
        </row>
        <row r="11">
          <cell r="E11">
            <v>-2.5500000000000002E-3</v>
          </cell>
          <cell r="F11">
            <v>-2.6000000000000003E-3</v>
          </cell>
          <cell r="G11">
            <v>-2.6500000000000004E-3</v>
          </cell>
          <cell r="H11">
            <v>-2.7000000000000006E-3</v>
          </cell>
          <cell r="I11">
            <v>-2.7500000000000003E-3</v>
          </cell>
          <cell r="J11">
            <v>-2.8000000000000004E-3</v>
          </cell>
          <cell r="K11">
            <v>-2.8500000000000005E-3</v>
          </cell>
          <cell r="L11">
            <v>-2.9000000000000007E-3</v>
          </cell>
          <cell r="M11">
            <v>-2.9500000000000008E-3</v>
          </cell>
          <cell r="N11">
            <v>-3.0000000000000009E-3</v>
          </cell>
        </row>
        <row r="12">
          <cell r="E12">
            <v>-2E-3</v>
          </cell>
          <cell r="F12">
            <v>-2.0500000000000002E-3</v>
          </cell>
          <cell r="G12">
            <v>-2.1000000000000003E-3</v>
          </cell>
          <cell r="H12">
            <v>-2.1500000000000004E-3</v>
          </cell>
          <cell r="I12">
            <v>-2.2000000000000001E-3</v>
          </cell>
          <cell r="J12">
            <v>-2.2500000000000003E-3</v>
          </cell>
          <cell r="K12">
            <v>-2.3000000000000004E-3</v>
          </cell>
          <cell r="L12">
            <v>-2.3500000000000005E-3</v>
          </cell>
          <cell r="M12">
            <v>-2.4000000000000007E-3</v>
          </cell>
          <cell r="N12">
            <v>-2.4500000000000008E-3</v>
          </cell>
        </row>
        <row r="13">
          <cell r="E13">
            <v>-1.5500000000000002E-3</v>
          </cell>
          <cell r="F13">
            <v>-1.5E-3</v>
          </cell>
          <cell r="G13">
            <v>-1.5500000000000002E-3</v>
          </cell>
          <cell r="H13">
            <v>-1.6000000000000003E-3</v>
          </cell>
          <cell r="I13">
            <v>-1.65E-3</v>
          </cell>
          <cell r="J13">
            <v>-1.7000000000000001E-3</v>
          </cell>
          <cell r="K13">
            <v>-1.7500000000000003E-3</v>
          </cell>
          <cell r="L13">
            <v>-1.8000000000000004E-3</v>
          </cell>
          <cell r="M13">
            <v>-1.8500000000000005E-3</v>
          </cell>
          <cell r="N13">
            <v>-1.9000000000000006E-3</v>
          </cell>
        </row>
        <row r="14">
          <cell r="E14">
            <v>-1.1000000000000003E-3</v>
          </cell>
          <cell r="F14">
            <v>-1.0500000000000002E-3</v>
          </cell>
          <cell r="G14">
            <v>-1E-3</v>
          </cell>
          <cell r="H14">
            <v>-1.0500000000000002E-3</v>
          </cell>
          <cell r="I14">
            <v>-1.1000000000000001E-3</v>
          </cell>
          <cell r="J14">
            <v>-1.15E-3</v>
          </cell>
          <cell r="K14">
            <v>-1.2000000000000001E-3</v>
          </cell>
          <cell r="L14">
            <v>-1.2500000000000002E-3</v>
          </cell>
          <cell r="M14">
            <v>-1.3000000000000004E-3</v>
          </cell>
          <cell r="N14">
            <v>-1.3500000000000005E-3</v>
          </cell>
        </row>
        <row r="15">
          <cell r="E15">
            <v>-6.500000000000003E-4</v>
          </cell>
          <cell r="F15">
            <v>-6.0000000000000016E-4</v>
          </cell>
          <cell r="G15">
            <v>-5.5000000000000003E-4</v>
          </cell>
          <cell r="H15">
            <v>-5.0000000000000001E-4</v>
          </cell>
          <cell r="I15">
            <v>-5.5000000000000003E-4</v>
          </cell>
          <cell r="J15">
            <v>-6.0000000000000006E-4</v>
          </cell>
          <cell r="K15">
            <v>-6.5000000000000008E-4</v>
          </cell>
          <cell r="L15">
            <v>-7.000000000000001E-4</v>
          </cell>
          <cell r="M15">
            <v>-7.5000000000000023E-4</v>
          </cell>
          <cell r="N15">
            <v>-8.0000000000000036E-4</v>
          </cell>
        </row>
        <row r="16">
          <cell r="E16">
            <v>-2.0000000000000031E-4</v>
          </cell>
          <cell r="F16">
            <v>-1.5000000000000018E-4</v>
          </cell>
          <cell r="G16">
            <v>-1.0000000000000005E-4</v>
          </cell>
          <cell r="H16">
            <v>-5.0000000000000023E-5</v>
          </cell>
          <cell r="I16">
            <v>0</v>
          </cell>
          <cell r="J16">
            <v>-5.0000000000000023E-5</v>
          </cell>
          <cell r="K16">
            <v>-1.0000000000000005E-4</v>
          </cell>
          <cell r="L16">
            <v>-1.5000000000000007E-4</v>
          </cell>
          <cell r="M16">
            <v>-2.000000000000002E-4</v>
          </cell>
          <cell r="N16">
            <v>-2.5000000000000033E-4</v>
          </cell>
        </row>
        <row r="17">
          <cell r="E17">
            <v>2.4999999999999968E-4</v>
          </cell>
          <cell r="F17">
            <v>2.9999999999999981E-4</v>
          </cell>
          <cell r="G17">
            <v>3.4999999999999994E-4</v>
          </cell>
          <cell r="H17">
            <v>3.9999999999999996E-4</v>
          </cell>
          <cell r="I17">
            <v>4.4999999999999999E-4</v>
          </cell>
          <cell r="J17">
            <v>5.0000000000000001E-4</v>
          </cell>
          <cell r="K17">
            <v>4.4999999999999999E-4</v>
          </cell>
          <cell r="L17">
            <v>3.9999999999999996E-4</v>
          </cell>
          <cell r="M17">
            <v>3.4999999999999983E-4</v>
          </cell>
          <cell r="N17">
            <v>2.999999999999997E-4</v>
          </cell>
        </row>
        <row r="18">
          <cell r="E18">
            <v>6.9999999999999967E-4</v>
          </cell>
          <cell r="F18">
            <v>7.499999999999998E-4</v>
          </cell>
          <cell r="G18">
            <v>7.9999999999999993E-4</v>
          </cell>
          <cell r="H18">
            <v>8.4999999999999995E-4</v>
          </cell>
          <cell r="I18">
            <v>8.9999999999999998E-4</v>
          </cell>
          <cell r="J18">
            <v>9.5E-4</v>
          </cell>
          <cell r="K18">
            <v>1E-3</v>
          </cell>
          <cell r="L18">
            <v>9.5E-4</v>
          </cell>
          <cell r="M18">
            <v>8.9999999999999987E-4</v>
          </cell>
          <cell r="N18">
            <v>8.4999999999999974E-4</v>
          </cell>
        </row>
        <row r="19">
          <cell r="E19">
            <v>1.1499999999999995E-3</v>
          </cell>
          <cell r="F19">
            <v>1.1999999999999997E-3</v>
          </cell>
          <cell r="G19">
            <v>1.2499999999999998E-3</v>
          </cell>
          <cell r="H19">
            <v>1.2999999999999999E-3</v>
          </cell>
          <cell r="I19">
            <v>1.3500000000000001E-3</v>
          </cell>
          <cell r="J19">
            <v>1.4E-3</v>
          </cell>
          <cell r="K19">
            <v>1.4499999999999999E-3</v>
          </cell>
          <cell r="L19">
            <v>1.5E-3</v>
          </cell>
          <cell r="M19">
            <v>1.4499999999999999E-3</v>
          </cell>
          <cell r="N19">
            <v>1.3999999999999998E-3</v>
          </cell>
        </row>
        <row r="20">
          <cell r="E20">
            <v>1.5999999999999994E-3</v>
          </cell>
          <cell r="F20">
            <v>1.6499999999999996E-3</v>
          </cell>
          <cell r="G20">
            <v>1.6999999999999997E-3</v>
          </cell>
          <cell r="H20">
            <v>1.7499999999999998E-3</v>
          </cell>
          <cell r="I20">
            <v>1.8E-3</v>
          </cell>
          <cell r="J20">
            <v>1.8500000000000001E-3</v>
          </cell>
          <cell r="K20">
            <v>1.8999999999999998E-3</v>
          </cell>
          <cell r="L20">
            <v>1.9499999999999999E-3</v>
          </cell>
          <cell r="M20">
            <v>2E-3</v>
          </cell>
          <cell r="N20">
            <v>1.9499999999999999E-3</v>
          </cell>
        </row>
        <row r="21">
          <cell r="E21">
            <v>2.0499999999999993E-3</v>
          </cell>
          <cell r="F21">
            <v>2.0999999999999994E-3</v>
          </cell>
          <cell r="G21">
            <v>2.1499999999999996E-3</v>
          </cell>
          <cell r="H21">
            <v>2.1999999999999997E-3</v>
          </cell>
          <cell r="I21">
            <v>2.2499999999999998E-3</v>
          </cell>
          <cell r="J21">
            <v>2.3E-3</v>
          </cell>
          <cell r="K21">
            <v>2.3499999999999997E-3</v>
          </cell>
          <cell r="L21">
            <v>2.3999999999999998E-3</v>
          </cell>
          <cell r="M21">
            <v>2.4499999999999999E-3</v>
          </cell>
          <cell r="N21">
            <v>2.5000000000000001E-3</v>
          </cell>
        </row>
        <row r="22">
          <cell r="E22">
            <v>2.4999999999999992E-3</v>
          </cell>
          <cell r="F22">
            <v>2.5499999999999993E-3</v>
          </cell>
          <cell r="G22">
            <v>2.5999999999999994E-3</v>
          </cell>
          <cell r="H22">
            <v>2.6499999999999996E-3</v>
          </cell>
          <cell r="I22">
            <v>2.6999999999999997E-3</v>
          </cell>
          <cell r="J22">
            <v>2.7499999999999998E-3</v>
          </cell>
          <cell r="K22">
            <v>2.7999999999999995E-3</v>
          </cell>
          <cell r="L22">
            <v>2.8499999999999997E-3</v>
          </cell>
          <cell r="M22">
            <v>2.8999999999999998E-3</v>
          </cell>
          <cell r="N22">
            <v>2.9499999999999999E-3</v>
          </cell>
        </row>
        <row r="23">
          <cell r="E23">
            <v>2.9499999999999991E-3</v>
          </cell>
          <cell r="F23">
            <v>2.9999999999999992E-3</v>
          </cell>
          <cell r="G23">
            <v>3.0499999999999993E-3</v>
          </cell>
          <cell r="H23">
            <v>3.0999999999999995E-3</v>
          </cell>
          <cell r="I23">
            <v>3.1499999999999996E-3</v>
          </cell>
          <cell r="J23">
            <v>3.1999999999999997E-3</v>
          </cell>
          <cell r="K23">
            <v>3.2499999999999994E-3</v>
          </cell>
          <cell r="L23">
            <v>3.2999999999999995E-3</v>
          </cell>
          <cell r="M23">
            <v>3.3499999999999997E-3</v>
          </cell>
          <cell r="N23">
            <v>3.3999999999999998E-3</v>
          </cell>
        </row>
        <row r="24">
          <cell r="E24">
            <v>3.3999999999999989E-3</v>
          </cell>
          <cell r="F24">
            <v>3.4499999999999991E-3</v>
          </cell>
          <cell r="G24">
            <v>3.4999999999999992E-3</v>
          </cell>
          <cell r="H24">
            <v>3.5499999999999993E-3</v>
          </cell>
          <cell r="I24">
            <v>3.5999999999999995E-3</v>
          </cell>
          <cell r="J24">
            <v>3.6499999999999996E-3</v>
          </cell>
          <cell r="K24">
            <v>3.6999999999999993E-3</v>
          </cell>
          <cell r="L24">
            <v>3.7499999999999994E-3</v>
          </cell>
          <cell r="M24">
            <v>3.7999999999999996E-3</v>
          </cell>
          <cell r="N24">
            <v>3.8499999999999997E-3</v>
          </cell>
        </row>
        <row r="25">
          <cell r="E25">
            <v>3.8499999999999988E-3</v>
          </cell>
          <cell r="F25">
            <v>3.899999999999999E-3</v>
          </cell>
          <cell r="G25">
            <v>3.9499999999999995E-3</v>
          </cell>
          <cell r="H25">
            <v>3.9999999999999992E-3</v>
          </cell>
          <cell r="I25">
            <v>4.0499999999999998E-3</v>
          </cell>
          <cell r="J25">
            <v>4.0999999999999995E-3</v>
          </cell>
          <cell r="K25">
            <v>4.1499999999999992E-3</v>
          </cell>
          <cell r="L25">
            <v>4.1999999999999997E-3</v>
          </cell>
          <cell r="M25">
            <v>4.2499999999999994E-3</v>
          </cell>
          <cell r="N25">
            <v>4.3E-3</v>
          </cell>
        </row>
        <row r="26">
          <cell r="E26">
            <v>4.2999999999999991E-3</v>
          </cell>
          <cell r="F26">
            <v>4.3499999999999988E-3</v>
          </cell>
          <cell r="G26">
            <v>4.3999999999999994E-3</v>
          </cell>
          <cell r="H26">
            <v>4.4499999999999991E-3</v>
          </cell>
          <cell r="I26">
            <v>4.4999999999999997E-3</v>
          </cell>
          <cell r="J26">
            <v>4.5499999999999994E-3</v>
          </cell>
          <cell r="K26">
            <v>4.5999999999999991E-3</v>
          </cell>
          <cell r="L26">
            <v>4.6499999999999996E-3</v>
          </cell>
          <cell r="M26">
            <v>4.6999999999999993E-3</v>
          </cell>
          <cell r="N26">
            <v>4.7499999999999999E-3</v>
          </cell>
        </row>
        <row r="27">
          <cell r="E27">
            <v>4.749999999999999E-3</v>
          </cell>
          <cell r="F27">
            <v>4.7999999999999987E-3</v>
          </cell>
          <cell r="G27">
            <v>4.8499999999999993E-3</v>
          </cell>
          <cell r="H27">
            <v>4.899999999999999E-3</v>
          </cell>
          <cell r="I27">
            <v>4.9499999999999995E-3</v>
          </cell>
          <cell r="J27">
            <v>4.9999999999999992E-3</v>
          </cell>
          <cell r="K27">
            <v>5.0499999999999989E-3</v>
          </cell>
          <cell r="L27">
            <v>5.0999999999999995E-3</v>
          </cell>
          <cell r="M27">
            <v>5.1499999999999992E-3</v>
          </cell>
          <cell r="N27">
            <v>5.1999999999999998E-3</v>
          </cell>
        </row>
        <row r="28">
          <cell r="E28">
            <v>5.1999999999999989E-3</v>
          </cell>
          <cell r="F28">
            <v>5.2499999999999986E-3</v>
          </cell>
          <cell r="G28">
            <v>5.2999999999999992E-3</v>
          </cell>
          <cell r="H28">
            <v>5.3499999999999989E-3</v>
          </cell>
          <cell r="I28">
            <v>5.3999999999999994E-3</v>
          </cell>
          <cell r="J28">
            <v>5.4499999999999991E-3</v>
          </cell>
          <cell r="K28">
            <v>5.4999999999999988E-3</v>
          </cell>
          <cell r="L28">
            <v>5.5499999999999994E-3</v>
          </cell>
          <cell r="M28">
            <v>5.5999999999999991E-3</v>
          </cell>
          <cell r="N28">
            <v>5.6499999999999996E-3</v>
          </cell>
        </row>
        <row r="29">
          <cell r="E29">
            <v>5.6499999999999988E-3</v>
          </cell>
          <cell r="F29">
            <v>5.6999999999999985E-3</v>
          </cell>
          <cell r="G29">
            <v>5.749999999999999E-3</v>
          </cell>
          <cell r="H29">
            <v>5.7999999999999987E-3</v>
          </cell>
          <cell r="I29">
            <v>5.8499999999999993E-3</v>
          </cell>
          <cell r="J29">
            <v>5.899999999999999E-3</v>
          </cell>
          <cell r="K29">
            <v>5.9499999999999987E-3</v>
          </cell>
          <cell r="L29">
            <v>5.9999999999999993E-3</v>
          </cell>
          <cell r="M29">
            <v>6.049999999999999E-3</v>
          </cell>
          <cell r="N29">
            <v>6.0999999999999995E-3</v>
          </cell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João Marcos Batista" id="{F473EBEF-2DC6-45F9-BB4D-7B8A5F18F438}" userId="406e8e17d246d1d6" providerId="Windows Live"/>
</personList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2" dT="2022-02-22T19:59:04.25" personId="{F473EBEF-2DC6-45F9-BB4D-7B8A5F18F438}" id="{1B44EED1-0D42-45B5-BE1B-68A282BBCE74}">
    <text>Índice de Perdas Mensal (IPM)</text>
  </threadedComment>
  <threadedComment ref="H2" dT="2022-02-22T19:59:20.78" personId="{F473EBEF-2DC6-45F9-BB4D-7B8A5F18F438}" id="{C3F454B3-91F9-4B19-AB0C-C30E79E06ABC}">
    <text>Índice de Perdas Anual (IPA)</text>
  </threadedComment>
</ThreadedComments>
</file>

<file path=xl/worksheets/_rels/sheet2.xml.rels><?xml version="1.0" encoding="UTF-8" standalone="yes"?>
<Relationships xmlns="http://schemas.openxmlformats.org/package/2006/relationships"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2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5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27"/>
  <sheetViews>
    <sheetView tabSelected="1" zoomScale="70" zoomScaleNormal="70" workbookViewId="0">
      <selection activeCell="L13" sqref="L13"/>
    </sheetView>
  </sheetViews>
  <sheetFormatPr defaultRowHeight="15" x14ac:dyDescent="0.25"/>
  <cols>
    <col min="1" max="1" width="2.28515625" customWidth="1"/>
    <col min="2" max="2" width="63.5703125" bestFit="1" customWidth="1"/>
    <col min="3" max="3" width="12.42578125" style="24" bestFit="1" customWidth="1"/>
    <col min="4" max="4" width="23.85546875" customWidth="1"/>
    <col min="5" max="6" width="14.42578125" customWidth="1"/>
    <col min="7" max="7" width="13.140625" customWidth="1"/>
    <col min="8" max="8" width="14" customWidth="1"/>
    <col min="9" max="10" width="14.42578125" customWidth="1"/>
    <col min="11" max="12" width="14" customWidth="1"/>
    <col min="13" max="13" width="14.42578125" customWidth="1"/>
    <col min="14" max="14" width="14" customWidth="1"/>
    <col min="15" max="15" width="13.5703125" bestFit="1" customWidth="1"/>
    <col min="16" max="16" width="10.140625" bestFit="1" customWidth="1"/>
    <col min="19" max="19" width="11.140625" bestFit="1" customWidth="1"/>
  </cols>
  <sheetData>
    <row r="1" spans="2:19" ht="15.75" thickBot="1" x14ac:dyDescent="0.3"/>
    <row r="2" spans="2:19" ht="30" x14ac:dyDescent="0.25">
      <c r="B2" s="25" t="s">
        <v>37</v>
      </c>
      <c r="C2" s="26" t="s">
        <v>38</v>
      </c>
      <c r="D2" s="26" t="s">
        <v>39</v>
      </c>
      <c r="E2" s="26" t="s">
        <v>40</v>
      </c>
      <c r="F2" s="27">
        <v>2012</v>
      </c>
      <c r="G2" s="27">
        <v>2013</v>
      </c>
      <c r="H2" s="27">
        <v>2014</v>
      </c>
      <c r="I2" s="27">
        <v>2015</v>
      </c>
      <c r="J2" s="27">
        <v>2016</v>
      </c>
      <c r="K2" s="27">
        <v>2017</v>
      </c>
      <c r="L2" s="27">
        <v>2018</v>
      </c>
      <c r="M2" s="27">
        <v>2019</v>
      </c>
      <c r="N2" s="27">
        <v>2020</v>
      </c>
      <c r="O2" s="28">
        <v>2021</v>
      </c>
    </row>
    <row r="3" spans="2:19" x14ac:dyDescent="0.25">
      <c r="B3" s="29" t="s">
        <v>44</v>
      </c>
      <c r="C3" s="30" t="s">
        <v>41</v>
      </c>
      <c r="D3" s="31" t="s">
        <v>42</v>
      </c>
      <c r="E3" s="31" t="s">
        <v>0</v>
      </c>
      <c r="F3" s="32">
        <v>363968.5900000002</v>
      </c>
      <c r="G3" s="32">
        <v>371654.85</v>
      </c>
      <c r="H3" s="32">
        <v>383801.08000000037</v>
      </c>
      <c r="I3" s="32">
        <v>381626.72999999986</v>
      </c>
      <c r="J3" s="32">
        <v>384650.91000000021</v>
      </c>
      <c r="K3" s="32">
        <v>376378.19</v>
      </c>
      <c r="L3" s="32">
        <v>370395.25</v>
      </c>
      <c r="M3" s="32">
        <v>382166.15</v>
      </c>
      <c r="N3" s="32">
        <v>387922.64</v>
      </c>
      <c r="O3" s="33">
        <v>394981.02</v>
      </c>
    </row>
    <row r="4" spans="2:19" x14ac:dyDescent="0.25">
      <c r="B4" s="29" t="s">
        <v>45</v>
      </c>
      <c r="C4" s="30" t="s">
        <v>41</v>
      </c>
      <c r="D4" s="31" t="s">
        <v>42</v>
      </c>
      <c r="E4" s="31" t="s">
        <v>46</v>
      </c>
      <c r="F4" s="32">
        <v>268608.89999999997</v>
      </c>
      <c r="G4" s="32">
        <v>278212.59999999992</v>
      </c>
      <c r="H4" s="32">
        <v>288161.81000000006</v>
      </c>
      <c r="I4" s="32">
        <v>281328.43</v>
      </c>
      <c r="J4" s="32">
        <v>282895.95</v>
      </c>
      <c r="K4" s="32">
        <v>264028.06</v>
      </c>
      <c r="L4" s="32">
        <v>257040.49</v>
      </c>
      <c r="M4" s="32">
        <v>268657.69</v>
      </c>
      <c r="N4" s="32">
        <v>278850.39</v>
      </c>
      <c r="O4" s="33">
        <v>283300.7</v>
      </c>
    </row>
    <row r="5" spans="2:19" x14ac:dyDescent="0.25">
      <c r="B5" s="29" t="s">
        <v>47</v>
      </c>
      <c r="C5" s="30" t="s">
        <v>41</v>
      </c>
      <c r="D5" s="31" t="s">
        <v>42</v>
      </c>
      <c r="E5" s="31" t="s">
        <v>48</v>
      </c>
      <c r="F5" s="32">
        <v>3188.8000000000025</v>
      </c>
      <c r="G5" s="32">
        <v>3374.8899999999985</v>
      </c>
      <c r="H5" s="32">
        <v>3399.2799999999988</v>
      </c>
      <c r="I5" s="32">
        <v>3364.5500000000025</v>
      </c>
      <c r="J5" s="32">
        <v>3369.3700000000008</v>
      </c>
      <c r="K5" s="32">
        <v>3303.16</v>
      </c>
      <c r="L5" s="32">
        <v>3228.52</v>
      </c>
      <c r="M5" s="32">
        <v>3325.52</v>
      </c>
      <c r="N5" s="32">
        <v>3371.07</v>
      </c>
      <c r="O5" s="33">
        <v>3430.56</v>
      </c>
    </row>
    <row r="6" spans="2:19" x14ac:dyDescent="0.25">
      <c r="B6" s="36" t="s">
        <v>49</v>
      </c>
      <c r="C6" s="37" t="s">
        <v>16</v>
      </c>
      <c r="D6" s="1" t="s">
        <v>43</v>
      </c>
      <c r="E6" s="1" t="s">
        <v>1</v>
      </c>
      <c r="F6" s="34">
        <f t="shared" ref="F6:O6" si="0">(F3-F4-F5)/(F3-F5)</f>
        <v>0.25547686581889795</v>
      </c>
      <c r="G6" s="34">
        <f t="shared" si="0"/>
        <v>0.24456220751191585</v>
      </c>
      <c r="H6" s="34">
        <f t="shared" si="0"/>
        <v>0.24248042464573041</v>
      </c>
      <c r="I6" s="34">
        <f t="shared" si="0"/>
        <v>0.25626075014953886</v>
      </c>
      <c r="J6" s="34">
        <f t="shared" si="0"/>
        <v>0.25803921689993214</v>
      </c>
      <c r="K6" s="34">
        <f t="shared" si="0"/>
        <v>0.29229233058025889</v>
      </c>
      <c r="L6" s="34">
        <f t="shared" si="0"/>
        <v>0.29993523650685894</v>
      </c>
      <c r="M6" s="34">
        <f t="shared" si="0"/>
        <v>0.29084245794861024</v>
      </c>
      <c r="N6" s="34">
        <f t="shared" si="0"/>
        <v>0.27486867366059642</v>
      </c>
      <c r="O6" s="35">
        <f t="shared" si="0"/>
        <v>0.27646439235443626</v>
      </c>
    </row>
    <row r="7" spans="2:19" ht="30" x14ac:dyDescent="0.25">
      <c r="B7" s="38" t="s">
        <v>50</v>
      </c>
      <c r="C7" s="3" t="s">
        <v>41</v>
      </c>
      <c r="D7" s="20" t="s">
        <v>51</v>
      </c>
      <c r="E7" s="20" t="s">
        <v>6</v>
      </c>
      <c r="F7" s="41">
        <v>39204</v>
      </c>
      <c r="G7" s="41">
        <v>0</v>
      </c>
      <c r="H7" s="41">
        <v>759458</v>
      </c>
      <c r="I7" s="41">
        <v>147030</v>
      </c>
      <c r="J7" s="41">
        <v>47975</v>
      </c>
      <c r="K7" s="41">
        <v>364963</v>
      </c>
      <c r="L7" s="41">
        <v>221557</v>
      </c>
      <c r="M7" s="41">
        <v>102639</v>
      </c>
      <c r="N7" s="41">
        <v>3276647</v>
      </c>
      <c r="O7" s="33">
        <v>3264227</v>
      </c>
    </row>
    <row r="8" spans="2:19" x14ac:dyDescent="0.25">
      <c r="B8" s="38" t="s">
        <v>52</v>
      </c>
      <c r="C8" s="3" t="s">
        <v>41</v>
      </c>
      <c r="D8" s="20" t="s">
        <v>53</v>
      </c>
      <c r="E8" s="20" t="s">
        <v>7</v>
      </c>
      <c r="F8" s="32">
        <v>5</v>
      </c>
      <c r="G8" s="41">
        <v>0</v>
      </c>
      <c r="H8" s="32">
        <v>139</v>
      </c>
      <c r="I8" s="32">
        <v>66</v>
      </c>
      <c r="J8" s="32">
        <v>19</v>
      </c>
      <c r="K8" s="32">
        <v>132</v>
      </c>
      <c r="L8" s="32">
        <v>75</v>
      </c>
      <c r="M8" s="32">
        <v>42</v>
      </c>
      <c r="N8" s="32">
        <v>465</v>
      </c>
      <c r="O8" s="42">
        <v>320</v>
      </c>
    </row>
    <row r="9" spans="2:19" x14ac:dyDescent="0.25">
      <c r="B9" s="89" t="s">
        <v>85</v>
      </c>
      <c r="C9" s="37" t="s">
        <v>16</v>
      </c>
      <c r="D9" s="1" t="s">
        <v>54</v>
      </c>
      <c r="E9" s="1" t="s">
        <v>2</v>
      </c>
      <c r="F9" s="43">
        <f>F7/F8</f>
        <v>7840.8</v>
      </c>
      <c r="G9" s="43" t="s">
        <v>55</v>
      </c>
      <c r="H9" s="43">
        <f t="shared" ref="H9:O9" si="1">H7/H8</f>
        <v>5463.7266187050363</v>
      </c>
      <c r="I9" s="43">
        <f t="shared" si="1"/>
        <v>2227.7272727272725</v>
      </c>
      <c r="J9" s="43">
        <f t="shared" si="1"/>
        <v>2525</v>
      </c>
      <c r="K9" s="43">
        <f t="shared" si="1"/>
        <v>2764.871212121212</v>
      </c>
      <c r="L9" s="43">
        <f t="shared" si="1"/>
        <v>2954.0933333333332</v>
      </c>
      <c r="M9" s="43">
        <f t="shared" si="1"/>
        <v>2443.7857142857142</v>
      </c>
      <c r="N9" s="43">
        <f t="shared" si="1"/>
        <v>7046.5526881720434</v>
      </c>
      <c r="O9" s="86">
        <f t="shared" si="1"/>
        <v>10200.709375</v>
      </c>
    </row>
    <row r="10" spans="2:19" x14ac:dyDescent="0.25">
      <c r="B10" s="38" t="s">
        <v>52</v>
      </c>
      <c r="C10" s="3" t="s">
        <v>41</v>
      </c>
      <c r="D10" s="20" t="s">
        <v>53</v>
      </c>
      <c r="E10" s="20" t="s">
        <v>7</v>
      </c>
      <c r="F10" s="32">
        <v>5</v>
      </c>
      <c r="G10" s="41">
        <v>0</v>
      </c>
      <c r="H10" s="32">
        <v>139</v>
      </c>
      <c r="I10" s="32">
        <v>66</v>
      </c>
      <c r="J10" s="32">
        <v>19</v>
      </c>
      <c r="K10" s="32">
        <v>132</v>
      </c>
      <c r="L10" s="32">
        <v>75</v>
      </c>
      <c r="M10" s="32">
        <v>42</v>
      </c>
      <c r="N10" s="32">
        <v>465</v>
      </c>
      <c r="O10" s="42">
        <v>320</v>
      </c>
    </row>
    <row r="11" spans="2:19" x14ac:dyDescent="0.25">
      <c r="B11" s="38" t="s">
        <v>56</v>
      </c>
      <c r="C11" s="3" t="s">
        <v>41</v>
      </c>
      <c r="D11" s="20" t="s">
        <v>57</v>
      </c>
      <c r="E11" s="20" t="s">
        <v>8</v>
      </c>
      <c r="F11" s="44">
        <v>12693.277916666666</v>
      </c>
      <c r="G11" s="44" t="s">
        <v>55</v>
      </c>
      <c r="H11" s="44">
        <v>3160.625</v>
      </c>
      <c r="I11" s="44">
        <v>2984.9166666666665</v>
      </c>
      <c r="J11" s="44">
        <v>807.44375000000002</v>
      </c>
      <c r="K11" s="44">
        <v>591.31319444455551</v>
      </c>
      <c r="L11" s="44">
        <v>404.48680555550521</v>
      </c>
      <c r="M11" s="44">
        <v>1011.3944444430022</v>
      </c>
      <c r="N11" s="44">
        <v>617.69791666613969</v>
      </c>
      <c r="O11" s="45">
        <v>215.81319444444443</v>
      </c>
      <c r="S11" s="46"/>
    </row>
    <row r="12" spans="2:19" x14ac:dyDescent="0.25">
      <c r="B12" s="89" t="s">
        <v>86</v>
      </c>
      <c r="C12" s="37" t="s">
        <v>16</v>
      </c>
      <c r="D12" s="1" t="s">
        <v>58</v>
      </c>
      <c r="E12" s="1" t="s">
        <v>3</v>
      </c>
      <c r="F12" s="47">
        <f>F11/F10</f>
        <v>2538.6555833333332</v>
      </c>
      <c r="G12" s="47" t="s">
        <v>55</v>
      </c>
      <c r="H12" s="47">
        <f t="shared" ref="H12:N12" si="2">H11/H10</f>
        <v>22.738309352517987</v>
      </c>
      <c r="I12" s="47">
        <f t="shared" si="2"/>
        <v>45.226010101010097</v>
      </c>
      <c r="J12" s="47">
        <f t="shared" si="2"/>
        <v>42.497039473684211</v>
      </c>
      <c r="K12" s="47">
        <f t="shared" si="2"/>
        <v>4.4796454124587539</v>
      </c>
      <c r="L12" s="47">
        <f t="shared" si="2"/>
        <v>5.3931574074067363</v>
      </c>
      <c r="M12" s="47">
        <f t="shared" si="2"/>
        <v>24.080820105785765</v>
      </c>
      <c r="N12" s="47">
        <f t="shared" si="2"/>
        <v>1.3283826164863219</v>
      </c>
      <c r="O12" s="91">
        <f>O11/O10</f>
        <v>0.67441623263888884</v>
      </c>
    </row>
    <row r="13" spans="2:19" x14ac:dyDescent="0.25">
      <c r="B13" s="38" t="s">
        <v>59</v>
      </c>
      <c r="C13" s="3" t="s">
        <v>41</v>
      </c>
      <c r="D13" s="20" t="s">
        <v>60</v>
      </c>
      <c r="E13" s="20" t="s">
        <v>61</v>
      </c>
      <c r="F13" s="32">
        <v>9201.4599999999991</v>
      </c>
      <c r="G13" s="32">
        <v>9420.39</v>
      </c>
      <c r="H13" s="32">
        <v>9707.2100000000009</v>
      </c>
      <c r="I13" s="32">
        <v>9893.8900000000031</v>
      </c>
      <c r="J13" s="32">
        <v>10101.140000000003</v>
      </c>
      <c r="K13" s="32">
        <v>11098.161880000001</v>
      </c>
      <c r="L13" s="32">
        <v>12817.20831</v>
      </c>
      <c r="M13" s="32">
        <v>13163.15257</v>
      </c>
      <c r="N13" s="32">
        <v>13270.914720000001</v>
      </c>
      <c r="O13" s="48">
        <v>14789.94821</v>
      </c>
    </row>
    <row r="14" spans="2:19" x14ac:dyDescent="0.25">
      <c r="B14" s="38" t="s">
        <v>62</v>
      </c>
      <c r="C14" s="3" t="s">
        <v>41</v>
      </c>
      <c r="D14" s="20" t="s">
        <v>63</v>
      </c>
      <c r="E14" s="20" t="s">
        <v>9</v>
      </c>
      <c r="F14" s="32">
        <v>9196</v>
      </c>
      <c r="G14" s="32">
        <v>8498</v>
      </c>
      <c r="H14" s="32">
        <v>10702</v>
      </c>
      <c r="I14" s="32">
        <v>21018</v>
      </c>
      <c r="J14" s="32">
        <v>24344</v>
      </c>
      <c r="K14" s="32">
        <v>28264</v>
      </c>
      <c r="L14" s="32">
        <v>31305</v>
      </c>
      <c r="M14" s="32">
        <v>31434</v>
      </c>
      <c r="N14" s="32">
        <v>31371</v>
      </c>
      <c r="O14" s="48">
        <v>30392</v>
      </c>
    </row>
    <row r="15" spans="2:19" x14ac:dyDescent="0.25">
      <c r="B15" s="89" t="s">
        <v>11</v>
      </c>
      <c r="C15" s="37" t="s">
        <v>16</v>
      </c>
      <c r="D15" s="1" t="s">
        <v>64</v>
      </c>
      <c r="E15" s="1" t="s">
        <v>4</v>
      </c>
      <c r="F15" s="40">
        <f>F14/F13</f>
        <v>0.99940661590660618</v>
      </c>
      <c r="G15" s="40">
        <f t="shared" ref="G15:O15" si="3">G14/G13</f>
        <v>0.90208579474947437</v>
      </c>
      <c r="H15" s="40">
        <f t="shared" si="3"/>
        <v>1.1024794971984739</v>
      </c>
      <c r="I15" s="40">
        <f t="shared" si="3"/>
        <v>2.1243413864516376</v>
      </c>
      <c r="J15" s="40">
        <f t="shared" si="3"/>
        <v>2.4100250070784082</v>
      </c>
      <c r="K15" s="40">
        <f t="shared" si="3"/>
        <v>2.5467280352915518</v>
      </c>
      <c r="L15" s="40">
        <f t="shared" si="3"/>
        <v>2.4424195380811438</v>
      </c>
      <c r="M15" s="40">
        <f t="shared" si="3"/>
        <v>2.3880297544860865</v>
      </c>
      <c r="N15" s="40">
        <f t="shared" si="3"/>
        <v>2.3638913113292914</v>
      </c>
      <c r="O15" s="92">
        <f t="shared" si="3"/>
        <v>2.0549091564398383</v>
      </c>
    </row>
    <row r="16" spans="2:19" x14ac:dyDescent="0.25">
      <c r="B16" s="38" t="s">
        <v>65</v>
      </c>
      <c r="C16" s="3" t="s">
        <v>41</v>
      </c>
      <c r="D16" s="39" t="s">
        <v>66</v>
      </c>
      <c r="E16" s="20" t="s">
        <v>67</v>
      </c>
      <c r="F16" s="32">
        <v>996</v>
      </c>
      <c r="G16" s="32">
        <v>891</v>
      </c>
      <c r="H16" s="32">
        <v>2435</v>
      </c>
      <c r="I16" s="32">
        <v>3647</v>
      </c>
      <c r="J16" s="32">
        <v>3487</v>
      </c>
      <c r="K16" s="32">
        <v>4931</v>
      </c>
      <c r="L16" s="32">
        <v>4925</v>
      </c>
      <c r="M16" s="32">
        <v>9391</v>
      </c>
      <c r="N16" s="32">
        <v>3794</v>
      </c>
      <c r="O16" s="33">
        <v>2986</v>
      </c>
    </row>
    <row r="17" spans="2:15" x14ac:dyDescent="0.25">
      <c r="B17" s="49" t="s">
        <v>68</v>
      </c>
      <c r="C17" s="50" t="s">
        <v>41</v>
      </c>
      <c r="D17" s="39" t="s">
        <v>51</v>
      </c>
      <c r="E17" s="39" t="s">
        <v>69</v>
      </c>
      <c r="F17" s="32">
        <v>3510481</v>
      </c>
      <c r="G17" s="32">
        <v>2759737</v>
      </c>
      <c r="H17" s="32">
        <v>27015644</v>
      </c>
      <c r="I17" s="32">
        <v>23484508</v>
      </c>
      <c r="J17" s="32">
        <v>20242349</v>
      </c>
      <c r="K17" s="32">
        <v>21759687</v>
      </c>
      <c r="L17" s="32">
        <v>26129575</v>
      </c>
      <c r="M17" s="32">
        <v>37694119</v>
      </c>
      <c r="N17" s="32">
        <v>12382326</v>
      </c>
      <c r="O17" s="33">
        <v>17446511</v>
      </c>
    </row>
    <row r="18" spans="2:15" x14ac:dyDescent="0.25">
      <c r="B18" s="89" t="s">
        <v>70</v>
      </c>
      <c r="C18" s="37" t="s">
        <v>16</v>
      </c>
      <c r="D18" s="1" t="s">
        <v>71</v>
      </c>
      <c r="E18" s="1" t="s">
        <v>72</v>
      </c>
      <c r="F18" s="40">
        <f>F17/F16</f>
        <v>3524.5793172690765</v>
      </c>
      <c r="G18" s="40">
        <f t="shared" ref="G18:O18" si="4">G17/G16</f>
        <v>3097.3479236812568</v>
      </c>
      <c r="H18" s="40">
        <f t="shared" si="4"/>
        <v>11094.720328542095</v>
      </c>
      <c r="I18" s="40">
        <f t="shared" si="4"/>
        <v>6439.4044420071295</v>
      </c>
      <c r="J18" s="40">
        <f t="shared" si="4"/>
        <v>5805.0900487525096</v>
      </c>
      <c r="K18" s="40">
        <f t="shared" si="4"/>
        <v>4412.8345163252889</v>
      </c>
      <c r="L18" s="40">
        <f t="shared" si="4"/>
        <v>5305.4974619289342</v>
      </c>
      <c r="M18" s="40">
        <f t="shared" si="4"/>
        <v>4013.8557129166225</v>
      </c>
      <c r="N18" s="40">
        <f t="shared" si="4"/>
        <v>3263.6599894570372</v>
      </c>
      <c r="O18" s="88">
        <f t="shared" si="4"/>
        <v>5842.7699263228396</v>
      </c>
    </row>
    <row r="19" spans="2:15" x14ac:dyDescent="0.25">
      <c r="B19" s="38" t="s">
        <v>65</v>
      </c>
      <c r="C19" s="3" t="s">
        <v>41</v>
      </c>
      <c r="D19" s="39" t="s">
        <v>66</v>
      </c>
      <c r="E19" s="20" t="s">
        <v>67</v>
      </c>
      <c r="F19" s="32">
        <v>996</v>
      </c>
      <c r="G19" s="32">
        <v>891</v>
      </c>
      <c r="H19" s="32">
        <v>2435</v>
      </c>
      <c r="I19" s="32">
        <v>3647</v>
      </c>
      <c r="J19" s="32">
        <v>3487</v>
      </c>
      <c r="K19" s="32">
        <v>4931</v>
      </c>
      <c r="L19" s="32">
        <v>4925</v>
      </c>
      <c r="M19" s="32">
        <v>9391</v>
      </c>
      <c r="N19" s="32">
        <v>3794</v>
      </c>
      <c r="O19" s="33">
        <v>2986</v>
      </c>
    </row>
    <row r="20" spans="2:15" x14ac:dyDescent="0.25">
      <c r="B20" s="38" t="s">
        <v>73</v>
      </c>
      <c r="C20" s="3" t="s">
        <v>41</v>
      </c>
      <c r="D20" s="39" t="s">
        <v>57</v>
      </c>
      <c r="E20" s="20" t="s">
        <v>74</v>
      </c>
      <c r="F20" s="51">
        <f>10430/24</f>
        <v>434.58333333333331</v>
      </c>
      <c r="G20" s="51">
        <f>10386/24</f>
        <v>432.75</v>
      </c>
      <c r="H20" s="51">
        <f>27458/24</f>
        <v>1144.0833333333333</v>
      </c>
      <c r="I20" s="51">
        <f>49687/24</f>
        <v>2070.2916666666665</v>
      </c>
      <c r="J20" s="51">
        <f>44230/24</f>
        <v>1842.9166666666667</v>
      </c>
      <c r="K20" s="51">
        <f>70280/24</f>
        <v>2928.3333333333335</v>
      </c>
      <c r="L20" s="51">
        <f>66362/24</f>
        <v>2765.0833333333335</v>
      </c>
      <c r="M20" s="51">
        <f>124262/24</f>
        <v>5177.583333333333</v>
      </c>
      <c r="N20" s="51">
        <f>52661/24</f>
        <v>2194.2083333333335</v>
      </c>
      <c r="O20" s="52">
        <f>69248/24</f>
        <v>2885.3333333333335</v>
      </c>
    </row>
    <row r="21" spans="2:15" x14ac:dyDescent="0.25">
      <c r="B21" s="89" t="s">
        <v>75</v>
      </c>
      <c r="C21" s="37" t="s">
        <v>16</v>
      </c>
      <c r="D21" s="1" t="s">
        <v>76</v>
      </c>
      <c r="E21" s="1" t="s">
        <v>77</v>
      </c>
      <c r="F21" s="47">
        <f>F20/F19</f>
        <v>0.43632864792503345</v>
      </c>
      <c r="G21" s="47">
        <f t="shared" ref="G21:O21" si="5">G20/G19</f>
        <v>0.48569023569023567</v>
      </c>
      <c r="H21" s="47">
        <f t="shared" si="5"/>
        <v>0.46984941820670773</v>
      </c>
      <c r="I21" s="47">
        <f t="shared" si="5"/>
        <v>0.5676697742436706</v>
      </c>
      <c r="J21" s="47">
        <f t="shared" si="5"/>
        <v>0.52851065863684166</v>
      </c>
      <c r="K21" s="47">
        <f t="shared" si="5"/>
        <v>0.59386196173866024</v>
      </c>
      <c r="L21" s="47">
        <f t="shared" si="5"/>
        <v>0.56143824027072764</v>
      </c>
      <c r="M21" s="47">
        <f t="shared" si="5"/>
        <v>0.55133461115252191</v>
      </c>
      <c r="N21" s="47">
        <f t="shared" si="5"/>
        <v>0.57833640836408373</v>
      </c>
      <c r="O21" s="87">
        <f t="shared" si="5"/>
        <v>0.96628711766019204</v>
      </c>
    </row>
    <row r="22" spans="2:15" x14ac:dyDescent="0.25">
      <c r="B22" s="38" t="s">
        <v>79</v>
      </c>
      <c r="C22" s="3" t="s">
        <v>41</v>
      </c>
      <c r="D22" s="20" t="s">
        <v>78</v>
      </c>
      <c r="E22" s="20" t="s">
        <v>55</v>
      </c>
      <c r="F22" s="32">
        <v>288</v>
      </c>
      <c r="G22" s="32">
        <v>1726</v>
      </c>
      <c r="H22" s="32">
        <v>2665</v>
      </c>
      <c r="I22" s="32">
        <v>1844</v>
      </c>
      <c r="J22" s="32">
        <v>1913</v>
      </c>
      <c r="K22" s="32">
        <v>1955</v>
      </c>
      <c r="L22" s="32">
        <v>1894</v>
      </c>
      <c r="M22" s="32">
        <v>3888</v>
      </c>
      <c r="N22" s="32">
        <v>5240</v>
      </c>
      <c r="O22" s="48">
        <v>6014</v>
      </c>
    </row>
    <row r="23" spans="2:15" x14ac:dyDescent="0.25">
      <c r="B23" s="38" t="s">
        <v>80</v>
      </c>
      <c r="C23" s="3" t="s">
        <v>41</v>
      </c>
      <c r="D23" s="20" t="s">
        <v>78</v>
      </c>
      <c r="E23" s="20" t="s">
        <v>55</v>
      </c>
      <c r="F23" s="32">
        <v>579</v>
      </c>
      <c r="G23" s="32">
        <v>3921</v>
      </c>
      <c r="H23" s="32">
        <v>7253</v>
      </c>
      <c r="I23" s="32">
        <v>5311</v>
      </c>
      <c r="J23" s="32">
        <v>5586</v>
      </c>
      <c r="K23" s="32">
        <v>5620</v>
      </c>
      <c r="L23" s="32">
        <v>5343</v>
      </c>
      <c r="M23" s="32">
        <v>7943</v>
      </c>
      <c r="N23" s="32">
        <v>9410</v>
      </c>
      <c r="O23" s="48">
        <v>10546</v>
      </c>
    </row>
    <row r="24" spans="2:15" x14ac:dyDescent="0.25">
      <c r="B24" s="89" t="s">
        <v>10</v>
      </c>
      <c r="C24" s="37" t="s">
        <v>16</v>
      </c>
      <c r="D24" s="1" t="s">
        <v>43</v>
      </c>
      <c r="E24" s="1" t="s">
        <v>87</v>
      </c>
      <c r="F24" s="34">
        <f>F22/F23</f>
        <v>0.49740932642487046</v>
      </c>
      <c r="G24" s="34">
        <f t="shared" ref="G24:O24" si="6">G22/G23</f>
        <v>0.44019382810507524</v>
      </c>
      <c r="H24" s="34">
        <f t="shared" si="6"/>
        <v>0.36743416517303185</v>
      </c>
      <c r="I24" s="34">
        <f t="shared" si="6"/>
        <v>0.34720391639992471</v>
      </c>
      <c r="J24" s="34">
        <f t="shared" si="6"/>
        <v>0.34246330110991763</v>
      </c>
      <c r="K24" s="34">
        <f t="shared" si="6"/>
        <v>0.34786476868327404</v>
      </c>
      <c r="L24" s="34">
        <f t="shared" si="6"/>
        <v>0.35448250046790192</v>
      </c>
      <c r="M24" s="34">
        <f t="shared" si="6"/>
        <v>0.48948759914390028</v>
      </c>
      <c r="N24" s="34">
        <f t="shared" si="6"/>
        <v>0.55685441020191284</v>
      </c>
      <c r="O24" s="93">
        <f t="shared" si="6"/>
        <v>0.5702636070548075</v>
      </c>
    </row>
    <row r="25" spans="2:15" x14ac:dyDescent="0.25">
      <c r="B25" s="38" t="s">
        <v>81</v>
      </c>
      <c r="C25" s="3" t="s">
        <v>41</v>
      </c>
      <c r="D25" s="20" t="s">
        <v>78</v>
      </c>
      <c r="E25" s="20" t="s">
        <v>55</v>
      </c>
      <c r="F25" s="32">
        <f>930606</f>
        <v>930606</v>
      </c>
      <c r="G25" s="32">
        <v>890545</v>
      </c>
      <c r="H25" s="32">
        <v>884477</v>
      </c>
      <c r="I25" s="32">
        <v>921096</v>
      </c>
      <c r="J25" s="32">
        <v>1259053</v>
      </c>
      <c r="K25" s="32">
        <v>1548515</v>
      </c>
      <c r="L25" s="32">
        <v>1767923</v>
      </c>
      <c r="M25" s="32">
        <v>1830980</v>
      </c>
      <c r="N25" s="32">
        <v>1521119</v>
      </c>
      <c r="O25" s="48">
        <v>1587538</v>
      </c>
    </row>
    <row r="26" spans="2:15" x14ac:dyDescent="0.25">
      <c r="B26" s="38" t="s">
        <v>82</v>
      </c>
      <c r="C26" s="3" t="s">
        <v>41</v>
      </c>
      <c r="D26" s="20" t="s">
        <v>78</v>
      </c>
      <c r="E26" s="20" t="s">
        <v>55</v>
      </c>
      <c r="F26" s="32">
        <f>1121548-88308</f>
        <v>1033240</v>
      </c>
      <c r="G26" s="32">
        <f>1096540-79707</f>
        <v>1016833</v>
      </c>
      <c r="H26" s="32">
        <f>1122508 -77958</f>
        <v>1044550</v>
      </c>
      <c r="I26" s="32">
        <f>1163903-81526</f>
        <v>1082377</v>
      </c>
      <c r="J26" s="32">
        <f>1503146-80866</f>
        <v>1422280</v>
      </c>
      <c r="K26" s="32">
        <f>1888688-133138</f>
        <v>1755550</v>
      </c>
      <c r="L26" s="32">
        <f>2100742-97496</f>
        <v>2003246</v>
      </c>
      <c r="M26" s="32">
        <f>2226407-120539</f>
        <v>2105868</v>
      </c>
      <c r="N26" s="32">
        <v>1863996</v>
      </c>
      <c r="O26" s="48">
        <v>1910064</v>
      </c>
    </row>
    <row r="27" spans="2:15" ht="15.75" thickBot="1" x14ac:dyDescent="0.3">
      <c r="B27" s="90" t="s">
        <v>12</v>
      </c>
      <c r="C27" s="53" t="s">
        <v>16</v>
      </c>
      <c r="D27" s="54" t="s">
        <v>43</v>
      </c>
      <c r="E27" s="55" t="s">
        <v>5</v>
      </c>
      <c r="F27" s="56">
        <f>F25/F26</f>
        <v>0.90066780225310672</v>
      </c>
      <c r="G27" s="56">
        <f t="shared" ref="G27:O27" si="7">G25/G26</f>
        <v>0.87580261458862962</v>
      </c>
      <c r="H27" s="56">
        <f t="shared" si="7"/>
        <v>0.84675410463836098</v>
      </c>
      <c r="I27" s="56">
        <f t="shared" si="7"/>
        <v>0.850993692585855</v>
      </c>
      <c r="J27" s="56">
        <f t="shared" si="7"/>
        <v>0.88523567792558422</v>
      </c>
      <c r="K27" s="56">
        <f t="shared" si="7"/>
        <v>0.88206829768448636</v>
      </c>
      <c r="L27" s="56">
        <f t="shared" si="7"/>
        <v>0.88252915518114106</v>
      </c>
      <c r="M27" s="56">
        <f t="shared" si="7"/>
        <v>0.86946570250367072</v>
      </c>
      <c r="N27" s="56">
        <f t="shared" si="7"/>
        <v>0.81605271685132375</v>
      </c>
      <c r="O27" s="94">
        <f t="shared" si="7"/>
        <v>0.83114387790147348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39997558519241921"/>
  </sheetPr>
  <dimension ref="A1:L32"/>
  <sheetViews>
    <sheetView workbookViewId="0">
      <selection activeCell="H14" sqref="H14"/>
    </sheetView>
  </sheetViews>
  <sheetFormatPr defaultRowHeight="15" x14ac:dyDescent="0.25"/>
  <cols>
    <col min="1" max="1" width="34.42578125" style="20" customWidth="1"/>
    <col min="2" max="2" width="10.28515625" style="20" customWidth="1"/>
    <col min="3" max="5" width="10.7109375" style="20" customWidth="1"/>
    <col min="6" max="6" width="10.7109375" customWidth="1"/>
    <col min="7" max="7" width="13.140625" customWidth="1"/>
    <col min="8" max="12" width="10.7109375" customWidth="1"/>
  </cols>
  <sheetData>
    <row r="1" spans="1:12" ht="15.75" customHeight="1" x14ac:dyDescent="0.25">
      <c r="A1" s="23" t="s">
        <v>31</v>
      </c>
      <c r="B1" s="103" t="str">
        <f>DADOS!B6</f>
        <v>Índice de perdas na distribuição</v>
      </c>
      <c r="C1" s="103"/>
      <c r="D1" s="103"/>
      <c r="E1" s="103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">
        <v>44</v>
      </c>
      <c r="B4" s="4" t="s">
        <v>0</v>
      </c>
      <c r="C4" s="4">
        <v>363968.5900000002</v>
      </c>
      <c r="D4" s="4">
        <v>371654.85</v>
      </c>
      <c r="E4" s="4">
        <v>383801.08000000037</v>
      </c>
      <c r="F4" s="4">
        <v>381626.72999999986</v>
      </c>
      <c r="G4" s="4">
        <v>384650.91000000021</v>
      </c>
      <c r="H4" s="4">
        <v>376378.19</v>
      </c>
      <c r="I4" s="4">
        <v>370395.25</v>
      </c>
      <c r="J4" s="4">
        <v>382166.15</v>
      </c>
      <c r="K4" s="4">
        <v>387922.64</v>
      </c>
      <c r="L4" s="4">
        <v>394981.02</v>
      </c>
    </row>
    <row r="5" spans="1:12" x14ac:dyDescent="0.25">
      <c r="A5" s="4" t="s">
        <v>45</v>
      </c>
      <c r="B5" s="4" t="s">
        <v>46</v>
      </c>
      <c r="C5" s="21">
        <v>268608.89999999997</v>
      </c>
      <c r="D5" s="21">
        <v>278212.59999999992</v>
      </c>
      <c r="E5" s="21">
        <v>288161.81000000006</v>
      </c>
      <c r="F5" s="21">
        <v>281328.43</v>
      </c>
      <c r="G5" s="21">
        <v>282895.95</v>
      </c>
      <c r="H5" s="21">
        <v>264028.06</v>
      </c>
      <c r="I5" s="21">
        <v>257040.49</v>
      </c>
      <c r="J5" s="21">
        <v>268657.69</v>
      </c>
      <c r="K5" s="21">
        <v>278850.39</v>
      </c>
      <c r="L5" s="21">
        <v>283300.7</v>
      </c>
    </row>
    <row r="6" spans="1:12" x14ac:dyDescent="0.25">
      <c r="A6" s="4" t="s">
        <v>47</v>
      </c>
      <c r="B6" s="4" t="s">
        <v>48</v>
      </c>
      <c r="C6" s="21">
        <v>3188.8000000000025</v>
      </c>
      <c r="D6" s="21">
        <v>3374.8899999999985</v>
      </c>
      <c r="E6" s="21">
        <v>3399.2799999999988</v>
      </c>
      <c r="F6" s="21">
        <v>3364.5500000000025</v>
      </c>
      <c r="G6" s="21">
        <v>3369.3700000000008</v>
      </c>
      <c r="H6" s="21">
        <v>3303.16</v>
      </c>
      <c r="I6" s="21">
        <v>3228.52</v>
      </c>
      <c r="J6" s="21">
        <v>3325.52</v>
      </c>
      <c r="K6" s="21">
        <v>3371.07</v>
      </c>
      <c r="L6" s="21">
        <v>3430.56</v>
      </c>
    </row>
    <row r="7" spans="1:12" x14ac:dyDescent="0.25">
      <c r="A7" s="61" t="s">
        <v>49</v>
      </c>
      <c r="B7" s="61" t="s">
        <v>1</v>
      </c>
      <c r="C7" s="60">
        <f t="shared" ref="C7:L7" si="0">(C4-C5-C6)/(C4-C6)</f>
        <v>0.25547686581889795</v>
      </c>
      <c r="D7" s="60">
        <f t="shared" si="0"/>
        <v>0.24456220751191585</v>
      </c>
      <c r="E7" s="60">
        <f t="shared" si="0"/>
        <v>0.24248042464573041</v>
      </c>
      <c r="F7" s="60">
        <f t="shared" si="0"/>
        <v>0.25626075014953886</v>
      </c>
      <c r="G7" s="60">
        <f t="shared" si="0"/>
        <v>0.25803921689993214</v>
      </c>
      <c r="H7" s="60">
        <f t="shared" si="0"/>
        <v>0.29229233058025889</v>
      </c>
      <c r="I7" s="60">
        <f t="shared" si="0"/>
        <v>0.29993523650685894</v>
      </c>
      <c r="J7" s="60">
        <f t="shared" si="0"/>
        <v>0.29084245794861024</v>
      </c>
      <c r="K7" s="60">
        <f t="shared" si="0"/>
        <v>0.27486867366059642</v>
      </c>
      <c r="L7" s="60">
        <f t="shared" si="0"/>
        <v>0.27646439235443626</v>
      </c>
    </row>
    <row r="8" spans="1:12" x14ac:dyDescent="0.25">
      <c r="A8" s="4" t="s">
        <v>83</v>
      </c>
      <c r="B8" s="4"/>
      <c r="C8" s="12"/>
      <c r="D8" s="17">
        <f>(D7/C7)-1</f>
        <v>-4.2722687520048375E-2</v>
      </c>
      <c r="E8" s="17">
        <f t="shared" ref="E8:L8" si="1">(E7/D7)-1</f>
        <v>-8.5122835918300943E-3</v>
      </c>
      <c r="F8" s="17">
        <f t="shared" si="1"/>
        <v>5.6830672100404822E-2</v>
      </c>
      <c r="G8" s="17">
        <f t="shared" si="1"/>
        <v>6.9400669019952232E-3</v>
      </c>
      <c r="H8" s="17">
        <f t="shared" si="1"/>
        <v>0.1327438289878633</v>
      </c>
      <c r="I8" s="17">
        <f t="shared" si="1"/>
        <v>2.6148157604502842E-2</v>
      </c>
      <c r="J8" s="17">
        <f t="shared" si="1"/>
        <v>-3.0315806385892152E-2</v>
      </c>
      <c r="K8" s="17">
        <f t="shared" si="1"/>
        <v>-5.4922463524346488E-2</v>
      </c>
      <c r="L8" s="17">
        <f t="shared" si="1"/>
        <v>5.8053857960191912E-3</v>
      </c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/>
      <c r="E10"/>
    </row>
    <row r="11" spans="1:12" x14ac:dyDescent="0.25">
      <c r="A11"/>
      <c r="B11"/>
      <c r="C11"/>
      <c r="D11" s="104" t="s">
        <v>23</v>
      </c>
      <c r="E11" s="105"/>
      <c r="F11" s="106"/>
      <c r="G11" s="67">
        <f>AVERAGE(D8:L8)</f>
        <v>1.0221652263185364E-2</v>
      </c>
    </row>
    <row r="12" spans="1:12" x14ac:dyDescent="0.25">
      <c r="A12"/>
      <c r="B12"/>
      <c r="C12"/>
      <c r="D12" s="104" t="s">
        <v>24</v>
      </c>
      <c r="E12" s="105"/>
      <c r="F12" s="106"/>
      <c r="G12" s="67">
        <f>MEDIAN(D8:L8)</f>
        <v>5.8053857960191912E-3</v>
      </c>
    </row>
    <row r="13" spans="1:12" x14ac:dyDescent="0.25">
      <c r="A13"/>
      <c r="B13"/>
      <c r="C13" s="14" t="s">
        <v>22</v>
      </c>
      <c r="D13" s="14"/>
      <c r="E13" s="14"/>
    </row>
    <row r="14" spans="1:12" x14ac:dyDescent="0.25">
      <c r="A14"/>
      <c r="B14"/>
      <c r="C14" s="107" t="s">
        <v>25</v>
      </c>
      <c r="D14" s="108"/>
      <c r="E14" s="108"/>
      <c r="F14" s="109"/>
      <c r="G14" s="57">
        <f>L7+(L7*G11)</f>
        <v>0.27929031523623615</v>
      </c>
      <c r="H14" s="75"/>
    </row>
    <row r="15" spans="1:12" x14ac:dyDescent="0.25">
      <c r="A15"/>
      <c r="B15"/>
      <c r="C15"/>
      <c r="D15"/>
      <c r="E15"/>
    </row>
    <row r="16" spans="1:12" x14ac:dyDescent="0.25">
      <c r="A16"/>
      <c r="B16"/>
      <c r="C16" s="110" t="s">
        <v>28</v>
      </c>
      <c r="D16" s="110"/>
      <c r="E16" s="111" t="s">
        <v>30</v>
      </c>
      <c r="F16" s="111"/>
      <c r="G16" s="111"/>
    </row>
    <row r="17" spans="1:6" x14ac:dyDescent="0.25">
      <c r="A17"/>
      <c r="B17"/>
      <c r="C17"/>
      <c r="D17"/>
      <c r="E17"/>
    </row>
    <row r="18" spans="1:6" x14ac:dyDescent="0.25">
      <c r="A18"/>
      <c r="B18"/>
      <c r="C18"/>
      <c r="D18"/>
      <c r="E18" s="59" t="s">
        <v>32</v>
      </c>
      <c r="F18" s="58">
        <f>AVERAGE(C7:L7)</f>
        <v>0.26912225560767761</v>
      </c>
    </row>
    <row r="19" spans="1:6" x14ac:dyDescent="0.25">
      <c r="A19"/>
      <c r="B19"/>
      <c r="C19"/>
      <c r="D19"/>
      <c r="E19" s="59" t="s">
        <v>33</v>
      </c>
      <c r="F19" s="58">
        <f>_xlfn.STDEV.S(C7:L7)</f>
        <v>2.0635512808727389E-2</v>
      </c>
    </row>
    <row r="20" spans="1:6" x14ac:dyDescent="0.25">
      <c r="A20"/>
      <c r="B20"/>
      <c r="C20"/>
      <c r="D20"/>
      <c r="E20" s="59" t="s">
        <v>34</v>
      </c>
      <c r="F20" s="58">
        <f>F18+F19</f>
        <v>0.28975776841640499</v>
      </c>
    </row>
    <row r="21" spans="1:6" x14ac:dyDescent="0.25">
      <c r="A21"/>
      <c r="B21"/>
      <c r="C21"/>
      <c r="D21"/>
      <c r="E21" s="59" t="s">
        <v>35</v>
      </c>
      <c r="F21" s="58">
        <f>F18-F19</f>
        <v>0.24848674279895022</v>
      </c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A32"/>
      <c r="B32"/>
      <c r="C32"/>
      <c r="D32"/>
      <c r="E32"/>
    </row>
  </sheetData>
  <mergeCells count="6">
    <mergeCell ref="B1:E1"/>
    <mergeCell ref="D11:F11"/>
    <mergeCell ref="D12:F12"/>
    <mergeCell ref="C14:F14"/>
    <mergeCell ref="C16:D16"/>
    <mergeCell ref="E16:G16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L30"/>
  <sheetViews>
    <sheetView workbookViewId="0">
      <selection activeCell="O24" sqref="O24"/>
    </sheetView>
  </sheetViews>
  <sheetFormatPr defaultRowHeight="15" x14ac:dyDescent="0.25"/>
  <cols>
    <col min="1" max="1" width="52.28515625" style="20" bestFit="1" customWidth="1"/>
    <col min="2" max="2" width="10.28515625" style="20" customWidth="1"/>
    <col min="3" max="5" width="10.7109375" style="20" customWidth="1"/>
    <col min="6" max="12" width="10.7109375" customWidth="1"/>
  </cols>
  <sheetData>
    <row r="1" spans="1:12" ht="15.75" customHeight="1" x14ac:dyDescent="0.25">
      <c r="A1" s="23" t="str">
        <f>DADOS!E24</f>
        <v>IQ02</v>
      </c>
      <c r="B1" s="112" t="str">
        <f>DADOS!B24</f>
        <v>Índice de conformidade da qualidade do efluente de ETE</v>
      </c>
      <c r="C1" s="112"/>
      <c r="D1" s="112"/>
      <c r="E1" s="112"/>
      <c r="F1" s="112"/>
      <c r="G1" s="11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DADOS!B22</f>
        <v>Número de amostras conformes do efluente de ETE</v>
      </c>
      <c r="B4" s="4" t="str">
        <f>DADOS!E25</f>
        <v>-</v>
      </c>
      <c r="C4" s="62">
        <f>DADOS!F22</f>
        <v>288</v>
      </c>
      <c r="D4" s="62">
        <f>DADOS!G22</f>
        <v>1726</v>
      </c>
      <c r="E4" s="62">
        <f>DADOS!H22</f>
        <v>2665</v>
      </c>
      <c r="F4" s="62">
        <f>DADOS!I22</f>
        <v>1844</v>
      </c>
      <c r="G4" s="62">
        <f>DADOS!J22</f>
        <v>1913</v>
      </c>
      <c r="H4" s="62">
        <f>DADOS!K22</f>
        <v>1955</v>
      </c>
      <c r="I4" s="62">
        <f>DADOS!L22</f>
        <v>1894</v>
      </c>
      <c r="J4" s="62">
        <f>DADOS!M22</f>
        <v>3888</v>
      </c>
      <c r="K4" s="62">
        <f>DADOS!N22</f>
        <v>5240</v>
      </c>
      <c r="L4" s="62">
        <f>DADOS!O22</f>
        <v>6014</v>
      </c>
    </row>
    <row r="5" spans="1:12" x14ac:dyDescent="0.25">
      <c r="A5" s="4" t="str">
        <f>DADOS!B23</f>
        <v>Número de amostras realizadas do efluente de ETE</v>
      </c>
      <c r="B5" s="4" t="str">
        <f>DADOS!E26</f>
        <v>-</v>
      </c>
      <c r="C5" s="62">
        <f>DADOS!F23</f>
        <v>579</v>
      </c>
      <c r="D5" s="62">
        <f>DADOS!G23</f>
        <v>3921</v>
      </c>
      <c r="E5" s="62">
        <f>DADOS!H23</f>
        <v>7253</v>
      </c>
      <c r="F5" s="62">
        <f>DADOS!I23</f>
        <v>5311</v>
      </c>
      <c r="G5" s="62">
        <f>DADOS!J23</f>
        <v>5586</v>
      </c>
      <c r="H5" s="62">
        <f>DADOS!K23</f>
        <v>5620</v>
      </c>
      <c r="I5" s="62">
        <f>DADOS!L23</f>
        <v>5343</v>
      </c>
      <c r="J5" s="62">
        <f>DADOS!M23</f>
        <v>7943</v>
      </c>
      <c r="K5" s="62">
        <f>DADOS!N23</f>
        <v>9410</v>
      </c>
      <c r="L5" s="62">
        <f>DADOS!O23</f>
        <v>10546</v>
      </c>
    </row>
    <row r="6" spans="1:12" x14ac:dyDescent="0.25">
      <c r="A6" s="61" t="str">
        <f>DADOS!B24</f>
        <v>Índice de conformidade da qualidade do efluente de ETE</v>
      </c>
      <c r="B6" s="61" t="str">
        <f>A1</f>
        <v>IQ02</v>
      </c>
      <c r="C6" s="63">
        <f>C4/C5</f>
        <v>0.49740932642487046</v>
      </c>
      <c r="D6" s="63">
        <f t="shared" ref="D6:L6" si="0">D4/D5</f>
        <v>0.44019382810507524</v>
      </c>
      <c r="E6" s="63">
        <f t="shared" si="0"/>
        <v>0.36743416517303185</v>
      </c>
      <c r="F6" s="63">
        <f t="shared" si="0"/>
        <v>0.34720391639992471</v>
      </c>
      <c r="G6" s="63">
        <f t="shared" si="0"/>
        <v>0.34246330110991763</v>
      </c>
      <c r="H6" s="63">
        <f t="shared" si="0"/>
        <v>0.34786476868327404</v>
      </c>
      <c r="I6" s="63">
        <f t="shared" si="0"/>
        <v>0.35448250046790192</v>
      </c>
      <c r="J6" s="63">
        <f t="shared" si="0"/>
        <v>0.48948759914390028</v>
      </c>
      <c r="K6" s="63">
        <f t="shared" si="0"/>
        <v>0.55685441020191284</v>
      </c>
      <c r="L6" s="63">
        <f t="shared" si="0"/>
        <v>0.5702636070548075</v>
      </c>
    </row>
    <row r="7" spans="1:12" x14ac:dyDescent="0.25">
      <c r="A7" s="4" t="s">
        <v>83</v>
      </c>
      <c r="B7" s="4"/>
      <c r="C7" s="12"/>
      <c r="D7" s="82">
        <f>(D6/C6)-1</f>
        <v>-0.11502699141375494</v>
      </c>
      <c r="E7" s="82">
        <f t="shared" ref="E7:L7" si="1">(E6/D6)-1</f>
        <v>-0.16529005698525034</v>
      </c>
      <c r="F7" s="82">
        <f t="shared" si="1"/>
        <v>-5.5058159231274328E-2</v>
      </c>
      <c r="G7" s="82">
        <f t="shared" si="1"/>
        <v>-1.3653691868344642E-2</v>
      </c>
      <c r="H7" s="82">
        <f t="shared" si="1"/>
        <v>1.5772398256544085E-2</v>
      </c>
      <c r="I7" s="82">
        <f t="shared" si="1"/>
        <v>1.9023863237651595E-2</v>
      </c>
      <c r="J7" s="82">
        <f t="shared" si="1"/>
        <v>0.38085123665568066</v>
      </c>
      <c r="K7" s="82">
        <f t="shared" si="1"/>
        <v>0.13762720685025553</v>
      </c>
      <c r="L7" s="82">
        <f t="shared" si="1"/>
        <v>2.4080256180484483E-2</v>
      </c>
    </row>
    <row r="8" spans="1:12" x14ac:dyDescent="0.25">
      <c r="A8"/>
      <c r="B8"/>
      <c r="C8" s="80">
        <f>AVERAGE(C6:L6)</f>
        <v>0.43136574227646163</v>
      </c>
      <c r="D8" s="80">
        <f>C8</f>
        <v>0.43136574227646163</v>
      </c>
      <c r="E8" s="80">
        <f t="shared" ref="E8:L9" si="2">D8</f>
        <v>0.43136574227646163</v>
      </c>
      <c r="F8" s="80">
        <f t="shared" si="2"/>
        <v>0.43136574227646163</v>
      </c>
      <c r="G8" s="80">
        <f t="shared" si="2"/>
        <v>0.43136574227646163</v>
      </c>
      <c r="H8" s="80">
        <f t="shared" si="2"/>
        <v>0.43136574227646163</v>
      </c>
      <c r="I8" s="80">
        <f t="shared" si="2"/>
        <v>0.43136574227646163</v>
      </c>
      <c r="J8" s="80">
        <f t="shared" si="2"/>
        <v>0.43136574227646163</v>
      </c>
      <c r="K8" s="80">
        <f t="shared" si="2"/>
        <v>0.43136574227646163</v>
      </c>
      <c r="L8" s="80">
        <f t="shared" si="2"/>
        <v>0.43136574227646163</v>
      </c>
    </row>
    <row r="9" spans="1:12" x14ac:dyDescent="0.25">
      <c r="A9"/>
      <c r="B9"/>
      <c r="C9" s="80">
        <f>MEDIAN(C6:L6)</f>
        <v>0.40381399663905354</v>
      </c>
      <c r="D9" s="80">
        <f>C9</f>
        <v>0.40381399663905354</v>
      </c>
      <c r="E9" s="80">
        <f t="shared" si="2"/>
        <v>0.40381399663905354</v>
      </c>
      <c r="F9" s="80">
        <f t="shared" si="2"/>
        <v>0.40381399663905354</v>
      </c>
      <c r="G9" s="80">
        <f t="shared" si="2"/>
        <v>0.40381399663905354</v>
      </c>
      <c r="H9" s="80">
        <f t="shared" si="2"/>
        <v>0.40381399663905354</v>
      </c>
      <c r="I9" s="80">
        <f t="shared" si="2"/>
        <v>0.40381399663905354</v>
      </c>
      <c r="J9" s="80">
        <f t="shared" si="2"/>
        <v>0.40381399663905354</v>
      </c>
      <c r="K9" s="80">
        <f t="shared" si="2"/>
        <v>0.40381399663905354</v>
      </c>
      <c r="L9" s="80">
        <f t="shared" si="2"/>
        <v>0.40381399663905354</v>
      </c>
    </row>
    <row r="10" spans="1:12" x14ac:dyDescent="0.25">
      <c r="A10"/>
      <c r="B10"/>
      <c r="C10"/>
      <c r="D10" s="104" t="s">
        <v>23</v>
      </c>
      <c r="E10" s="105"/>
      <c r="F10" s="106"/>
      <c r="G10" s="83">
        <f>AVERAGE(D7:L7)</f>
        <v>2.5369562409110234E-2</v>
      </c>
      <c r="J10" s="58"/>
    </row>
    <row r="11" spans="1:12" x14ac:dyDescent="0.25">
      <c r="A11"/>
      <c r="B11"/>
      <c r="C11"/>
      <c r="D11" s="104" t="s">
        <v>24</v>
      </c>
      <c r="E11" s="105"/>
      <c r="F11" s="106"/>
      <c r="G11" s="83">
        <f>MEDIAN(D7:L7)</f>
        <v>1.5772398256544085E-2</v>
      </c>
      <c r="J11" s="58"/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13" t="s">
        <v>25</v>
      </c>
      <c r="D13" s="113"/>
      <c r="E13" s="113"/>
      <c r="F13" s="113"/>
      <c r="G13" s="57">
        <f>L6+(L6*G11)</f>
        <v>0.57925803177648927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29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0.43136574227646163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9.1174687010492236E-2</v>
      </c>
    </row>
    <row r="19" spans="1:6" x14ac:dyDescent="0.25">
      <c r="A19"/>
      <c r="B19"/>
      <c r="C19"/>
      <c r="D19"/>
      <c r="E19" s="59" t="s">
        <v>34</v>
      </c>
      <c r="F19" s="58">
        <f>F17+F18</f>
        <v>0.52254042928695388</v>
      </c>
    </row>
    <row r="20" spans="1:6" x14ac:dyDescent="0.25">
      <c r="A20"/>
      <c r="B20"/>
      <c r="C20"/>
      <c r="D20"/>
      <c r="E20" s="59" t="s">
        <v>35</v>
      </c>
      <c r="F20" s="58">
        <f>F17-F18</f>
        <v>0.34019105526596938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</sheetData>
  <mergeCells count="6">
    <mergeCell ref="B1:G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L33"/>
  <sheetViews>
    <sheetView workbookViewId="0">
      <selection activeCell="C28" sqref="C28"/>
    </sheetView>
  </sheetViews>
  <sheetFormatPr defaultRowHeight="15" x14ac:dyDescent="0.25"/>
  <cols>
    <col min="1" max="1" width="62" style="20" customWidth="1"/>
    <col min="2" max="2" width="10.28515625" style="20" customWidth="1"/>
    <col min="3" max="3" width="10.7109375" style="20" customWidth="1"/>
    <col min="4" max="4" width="12.28515625" style="20" customWidth="1"/>
    <col min="5" max="5" width="13.7109375" style="20" bestFit="1" customWidth="1"/>
    <col min="6" max="6" width="11.85546875" bestFit="1" customWidth="1"/>
    <col min="7" max="7" width="12.42578125" customWidth="1"/>
    <col min="8" max="12" width="13.42578125" customWidth="1"/>
  </cols>
  <sheetData>
    <row r="1" spans="1:12" ht="15.75" customHeight="1" x14ac:dyDescent="0.25">
      <c r="A1" s="23" t="str">
        <f>DADOS!E18</f>
        <v>IN071</v>
      </c>
      <c r="B1" s="112" t="str">
        <f>DADOS!B18</f>
        <v>Economias atingidas por paralisações</v>
      </c>
      <c r="C1" s="112"/>
      <c r="D1" s="112"/>
      <c r="E1" s="112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DADOS!B17</f>
        <v>Quantidade de economias ativas atingidas por paralisações</v>
      </c>
      <c r="B4" s="4" t="str">
        <f>DADOS!E17</f>
        <v>QD004</v>
      </c>
      <c r="C4" s="62">
        <f>DADOS!F17</f>
        <v>3510481</v>
      </c>
      <c r="D4" s="62">
        <f>DADOS!G17</f>
        <v>2759737</v>
      </c>
      <c r="E4" s="62">
        <f>DADOS!H17</f>
        <v>27015644</v>
      </c>
      <c r="F4" s="62">
        <f>DADOS!I17</f>
        <v>23484508</v>
      </c>
      <c r="G4" s="62">
        <f>DADOS!J17</f>
        <v>20242349</v>
      </c>
      <c r="H4" s="62">
        <f>DADOS!K17</f>
        <v>21759687</v>
      </c>
      <c r="I4" s="62">
        <f>DADOS!L17</f>
        <v>26129575</v>
      </c>
      <c r="J4" s="62">
        <f>DADOS!M17</f>
        <v>37694119</v>
      </c>
      <c r="K4" s="62">
        <f>DADOS!N17</f>
        <v>12382326</v>
      </c>
      <c r="L4" s="62">
        <f>DADOS!O17</f>
        <v>17446511</v>
      </c>
    </row>
    <row r="5" spans="1:12" x14ac:dyDescent="0.25">
      <c r="A5" s="4" t="str">
        <f>DADOS!B16</f>
        <v>Quantidades de paralisações no sistema de distribuição de água</v>
      </c>
      <c r="B5" s="4" t="str">
        <f>DADOS!E16</f>
        <v>QD002</v>
      </c>
      <c r="C5" s="62">
        <f>DADOS!F16</f>
        <v>996</v>
      </c>
      <c r="D5" s="62">
        <f>DADOS!G16</f>
        <v>891</v>
      </c>
      <c r="E5" s="62">
        <f>DADOS!H16</f>
        <v>2435</v>
      </c>
      <c r="F5" s="62">
        <f>DADOS!I16</f>
        <v>3647</v>
      </c>
      <c r="G5" s="62">
        <f>DADOS!J16</f>
        <v>3487</v>
      </c>
      <c r="H5" s="62">
        <f>DADOS!K16</f>
        <v>4931</v>
      </c>
      <c r="I5" s="62">
        <f>DADOS!L16</f>
        <v>4925</v>
      </c>
      <c r="J5" s="62">
        <f>DADOS!M16</f>
        <v>9391</v>
      </c>
      <c r="K5" s="62">
        <f>DADOS!N16</f>
        <v>3794</v>
      </c>
      <c r="L5" s="62">
        <f>DADOS!O16</f>
        <v>2986</v>
      </c>
    </row>
    <row r="6" spans="1:12" x14ac:dyDescent="0.25">
      <c r="A6" s="61" t="str">
        <f>DADOS!B9</f>
        <v>Economias atingidas por interrupções sistemáticas</v>
      </c>
      <c r="B6" s="61" t="str">
        <f>DADOS!E18</f>
        <v>IN071</v>
      </c>
      <c r="C6" s="66">
        <f t="shared" ref="C6:L6" si="0">C4/C5</f>
        <v>3524.5793172690765</v>
      </c>
      <c r="D6" s="66">
        <f t="shared" si="0"/>
        <v>3097.3479236812568</v>
      </c>
      <c r="E6" s="66">
        <f t="shared" si="0"/>
        <v>11094.720328542095</v>
      </c>
      <c r="F6" s="66">
        <f t="shared" si="0"/>
        <v>6439.4044420071295</v>
      </c>
      <c r="G6" s="66">
        <f t="shared" si="0"/>
        <v>5805.0900487525096</v>
      </c>
      <c r="H6" s="66">
        <f t="shared" si="0"/>
        <v>4412.8345163252889</v>
      </c>
      <c r="I6" s="66">
        <f t="shared" si="0"/>
        <v>5305.4974619289342</v>
      </c>
      <c r="J6" s="66">
        <f t="shared" si="0"/>
        <v>4013.8557129166225</v>
      </c>
      <c r="K6" s="66">
        <f t="shared" si="0"/>
        <v>3263.6599894570372</v>
      </c>
      <c r="L6" s="66">
        <f t="shared" si="0"/>
        <v>5842.7699263228396</v>
      </c>
    </row>
    <row r="7" spans="1:12" x14ac:dyDescent="0.25">
      <c r="A7" s="4" t="s">
        <v>83</v>
      </c>
      <c r="B7" s="4"/>
      <c r="C7" s="12"/>
      <c r="D7" s="17">
        <f>(D6/C6)-1</f>
        <v>-0.12121486144305249</v>
      </c>
      <c r="E7" s="17">
        <f>(E6/D6)-1</f>
        <v>2.5820064784184171</v>
      </c>
      <c r="F7" s="17">
        <f t="shared" ref="F7:L7" si="1">(F6/E6)-1</f>
        <v>-0.4195974074766694</v>
      </c>
      <c r="G7" s="17">
        <f t="shared" si="1"/>
        <v>-9.8505133350019425E-2</v>
      </c>
      <c r="H7" s="17">
        <f t="shared" si="1"/>
        <v>-0.23983358065675675</v>
      </c>
      <c r="I7" s="17">
        <f t="shared" si="1"/>
        <v>0.20228788147419463</v>
      </c>
      <c r="J7" s="17">
        <f t="shared" si="1"/>
        <v>-0.24345346657515998</v>
      </c>
      <c r="K7" s="17">
        <f t="shared" si="1"/>
        <v>-0.18690151742262406</v>
      </c>
      <c r="L7" s="17">
        <f t="shared" si="1"/>
        <v>0.79025080590422636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104" t="s">
        <v>23</v>
      </c>
      <c r="E10" s="105"/>
      <c r="F10" s="106"/>
      <c r="G10" s="64">
        <f>AVERAGE(D7:L7)</f>
        <v>0.25167102209695069</v>
      </c>
    </row>
    <row r="11" spans="1:12" x14ac:dyDescent="0.25">
      <c r="A11"/>
      <c r="B11"/>
      <c r="C11"/>
      <c r="D11" s="104" t="s">
        <v>24</v>
      </c>
      <c r="E11" s="105"/>
      <c r="F11" s="106"/>
      <c r="G11" s="64">
        <f>MEDIAN(D7:L7)</f>
        <v>-0.12121486144305249</v>
      </c>
    </row>
    <row r="12" spans="1:12" x14ac:dyDescent="0.25">
      <c r="A12"/>
      <c r="B12"/>
      <c r="C12" s="14" t="s">
        <v>22</v>
      </c>
      <c r="D12" s="14"/>
      <c r="E12" s="14"/>
      <c r="G12" s="2"/>
    </row>
    <row r="13" spans="1:12" x14ac:dyDescent="0.25">
      <c r="A13"/>
      <c r="B13"/>
      <c r="C13" s="113" t="s">
        <v>25</v>
      </c>
      <c r="D13" s="113"/>
      <c r="E13" s="113"/>
      <c r="F13" s="113"/>
      <c r="G13" s="65">
        <f>L6+(L6*G11)</f>
        <v>5134.5393792599825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5279.9759667202798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2357.3635709998061</v>
      </c>
    </row>
    <row r="19" spans="1:6" x14ac:dyDescent="0.25">
      <c r="A19"/>
      <c r="B19"/>
      <c r="C19"/>
      <c r="D19"/>
      <c r="E19" s="59" t="s">
        <v>34</v>
      </c>
      <c r="F19" s="58">
        <f>F17+F18</f>
        <v>7637.3395377200859</v>
      </c>
    </row>
    <row r="20" spans="1:6" x14ac:dyDescent="0.25">
      <c r="A20"/>
      <c r="B20"/>
      <c r="C20"/>
      <c r="D20"/>
      <c r="E20" s="59" t="s">
        <v>35</v>
      </c>
      <c r="F20" s="58">
        <f>F17-F18</f>
        <v>2922.6123957204736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A32"/>
      <c r="B32"/>
      <c r="C32"/>
      <c r="D32"/>
      <c r="E32"/>
    </row>
    <row r="33" spans="4:5" x14ac:dyDescent="0.25">
      <c r="D33"/>
      <c r="E33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L32"/>
  <sheetViews>
    <sheetView workbookViewId="0">
      <selection activeCell="A18" sqref="A18"/>
    </sheetView>
  </sheetViews>
  <sheetFormatPr defaultRowHeight="15" x14ac:dyDescent="0.25"/>
  <cols>
    <col min="1" max="1" width="66.42578125" style="20" bestFit="1" customWidth="1"/>
    <col min="2" max="2" width="10.28515625" style="20" customWidth="1"/>
    <col min="3" max="3" width="10.7109375" style="20" customWidth="1"/>
    <col min="4" max="4" width="12.28515625" style="20" customWidth="1"/>
    <col min="5" max="5" width="13.7109375" style="20" bestFit="1" customWidth="1"/>
    <col min="6" max="6" width="11.85546875" bestFit="1" customWidth="1"/>
    <col min="7" max="7" width="12.42578125" customWidth="1"/>
    <col min="8" max="12" width="13.42578125" customWidth="1"/>
  </cols>
  <sheetData>
    <row r="1" spans="1:12" ht="15.75" customHeight="1" x14ac:dyDescent="0.25">
      <c r="A1" s="23" t="s">
        <v>2</v>
      </c>
      <c r="B1" s="112" t="str">
        <f>A6</f>
        <v>Economias atingidas por interrupções sistemáticas</v>
      </c>
      <c r="C1" s="112"/>
      <c r="D1" s="112"/>
      <c r="E1" s="112"/>
      <c r="F1" s="11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DADOS!B7</f>
        <v>Quantidade de economias ativas atingidas por interrupções sistemáticas</v>
      </c>
      <c r="B4" s="4" t="str">
        <f>DADOS!E7</f>
        <v>QD015</v>
      </c>
      <c r="C4" s="62">
        <f>DADOS!F7</f>
        <v>39204</v>
      </c>
      <c r="D4" s="62">
        <f>DADOS!G7</f>
        <v>0</v>
      </c>
      <c r="E4" s="62">
        <f>DADOS!H7</f>
        <v>759458</v>
      </c>
      <c r="F4" s="62">
        <f>DADOS!I7</f>
        <v>147030</v>
      </c>
      <c r="G4" s="62">
        <f>DADOS!J7</f>
        <v>47975</v>
      </c>
      <c r="H4" s="62">
        <f>DADOS!K7</f>
        <v>364963</v>
      </c>
      <c r="I4" s="62">
        <f>DADOS!L7</f>
        <v>221557</v>
      </c>
      <c r="J4" s="62">
        <f>DADOS!M7</f>
        <v>102639</v>
      </c>
      <c r="K4" s="62">
        <f>DADOS!N7</f>
        <v>3276647</v>
      </c>
      <c r="L4" s="62">
        <f>DADOS!O7</f>
        <v>3264227</v>
      </c>
    </row>
    <row r="5" spans="1:12" x14ac:dyDescent="0.25">
      <c r="A5" s="4" t="str">
        <f>DADOS!B8</f>
        <v>Quantidade de interrupções sistemáticas</v>
      </c>
      <c r="B5" s="4" t="str">
        <f>DADOS!E8</f>
        <v>QD021</v>
      </c>
      <c r="C5" s="62">
        <f>DADOS!F8</f>
        <v>5</v>
      </c>
      <c r="D5" s="62">
        <f>DADOS!G8</f>
        <v>0</v>
      </c>
      <c r="E5" s="62">
        <f>DADOS!H8</f>
        <v>139</v>
      </c>
      <c r="F5" s="62">
        <f>DADOS!I8</f>
        <v>66</v>
      </c>
      <c r="G5" s="62">
        <f>DADOS!J8</f>
        <v>19</v>
      </c>
      <c r="H5" s="62">
        <f>DADOS!K8</f>
        <v>132</v>
      </c>
      <c r="I5" s="62">
        <f>DADOS!L8</f>
        <v>75</v>
      </c>
      <c r="J5" s="62">
        <f>DADOS!M8</f>
        <v>42</v>
      </c>
      <c r="K5" s="62">
        <f>DADOS!N8</f>
        <v>465</v>
      </c>
      <c r="L5" s="62">
        <f>DADOS!O8</f>
        <v>320</v>
      </c>
    </row>
    <row r="6" spans="1:12" x14ac:dyDescent="0.25">
      <c r="A6" s="61" t="str">
        <f>DADOS!B9</f>
        <v>Economias atingidas por interrupções sistemáticas</v>
      </c>
      <c r="B6" s="61" t="str">
        <f>DADOS!E9</f>
        <v>IN073</v>
      </c>
      <c r="C6" s="66">
        <f>C4/C5</f>
        <v>7840.8</v>
      </c>
      <c r="D6" s="66" t="s">
        <v>55</v>
      </c>
      <c r="E6" s="66">
        <f t="shared" ref="E6:L6" si="0">E4/E5</f>
        <v>5463.7266187050363</v>
      </c>
      <c r="F6" s="66">
        <f t="shared" si="0"/>
        <v>2227.7272727272725</v>
      </c>
      <c r="G6" s="66">
        <f t="shared" si="0"/>
        <v>2525</v>
      </c>
      <c r="H6" s="66">
        <f t="shared" si="0"/>
        <v>2764.871212121212</v>
      </c>
      <c r="I6" s="66">
        <f t="shared" si="0"/>
        <v>2954.0933333333332</v>
      </c>
      <c r="J6" s="66">
        <f t="shared" si="0"/>
        <v>2443.7857142857142</v>
      </c>
      <c r="K6" s="66">
        <f t="shared" si="0"/>
        <v>7046.5526881720434</v>
      </c>
      <c r="L6" s="66">
        <f t="shared" si="0"/>
        <v>10200.709375</v>
      </c>
    </row>
    <row r="7" spans="1:12" x14ac:dyDescent="0.25">
      <c r="A7" s="4" t="s">
        <v>83</v>
      </c>
      <c r="B7" s="4"/>
      <c r="C7" s="12"/>
      <c r="D7" s="17"/>
      <c r="E7" s="17"/>
      <c r="F7" s="17">
        <f t="shared" ref="F7:L7" si="1">(F6/E6)-1</f>
        <v>-0.59226963056667925</v>
      </c>
      <c r="G7" s="17">
        <f t="shared" si="1"/>
        <v>0.13344215466231391</v>
      </c>
      <c r="H7" s="17">
        <f t="shared" si="1"/>
        <v>9.4998499849984874E-2</v>
      </c>
      <c r="I7" s="17">
        <f t="shared" si="1"/>
        <v>6.8437951244372686E-2</v>
      </c>
      <c r="J7" s="17">
        <f t="shared" si="1"/>
        <v>-0.17274593638915237</v>
      </c>
      <c r="K7" s="17">
        <f t="shared" si="1"/>
        <v>1.8834576808350221</v>
      </c>
      <c r="L7" s="17">
        <f t="shared" si="1"/>
        <v>0.44761698754092216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104" t="s">
        <v>23</v>
      </c>
      <c r="E10" s="105"/>
      <c r="F10" s="106"/>
      <c r="G10" s="64">
        <f>AVERAGE(D7:L7)</f>
        <v>0.26613395816811203</v>
      </c>
    </row>
    <row r="11" spans="1:12" x14ac:dyDescent="0.25">
      <c r="A11"/>
      <c r="B11"/>
      <c r="C11"/>
      <c r="D11" s="104" t="s">
        <v>24</v>
      </c>
      <c r="E11" s="105"/>
      <c r="F11" s="106"/>
      <c r="G11" s="64">
        <f>MEDIAN(D7:L7)</f>
        <v>9.4998499849984874E-2</v>
      </c>
    </row>
    <row r="12" spans="1:12" x14ac:dyDescent="0.25">
      <c r="A12"/>
      <c r="B12"/>
      <c r="C12" s="14" t="s">
        <v>22</v>
      </c>
      <c r="D12" s="14"/>
      <c r="E12" s="14"/>
      <c r="G12" s="2"/>
    </row>
    <row r="13" spans="1:12" x14ac:dyDescent="0.25">
      <c r="A13"/>
      <c r="B13"/>
      <c r="C13" s="113" t="s">
        <v>25</v>
      </c>
      <c r="D13" s="113"/>
      <c r="E13" s="113"/>
      <c r="F13" s="113"/>
      <c r="G13" s="65">
        <f>L6+(L6*G11)</f>
        <v>11169.761463030678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4829.6962460382902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2932.2943223702237</v>
      </c>
    </row>
    <row r="19" spans="1:6" x14ac:dyDescent="0.25">
      <c r="A19"/>
      <c r="B19"/>
      <c r="C19"/>
      <c r="D19"/>
      <c r="E19" s="59" t="s">
        <v>34</v>
      </c>
      <c r="F19" s="58">
        <f>F17+F18</f>
        <v>7761.9905684085134</v>
      </c>
    </row>
    <row r="20" spans="1:6" x14ac:dyDescent="0.25">
      <c r="A20"/>
      <c r="B20"/>
      <c r="C20"/>
      <c r="D20"/>
      <c r="E20" s="59" t="s">
        <v>35</v>
      </c>
      <c r="F20" s="58">
        <f>F17-F18</f>
        <v>1897.4019236680665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D32"/>
      <c r="E32"/>
    </row>
  </sheetData>
  <mergeCells count="6">
    <mergeCell ref="B1:F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L32"/>
  <sheetViews>
    <sheetView workbookViewId="0">
      <selection activeCell="H13" sqref="H13"/>
    </sheetView>
  </sheetViews>
  <sheetFormatPr defaultRowHeight="15" x14ac:dyDescent="0.25"/>
  <cols>
    <col min="1" max="1" width="66.42578125" style="20" bestFit="1" customWidth="1"/>
    <col min="2" max="2" width="10.28515625" style="20" customWidth="1"/>
    <col min="3" max="3" width="10.7109375" style="20" customWidth="1"/>
    <col min="4" max="4" width="12.28515625" style="20" customWidth="1"/>
    <col min="5" max="5" width="13.7109375" style="20" bestFit="1" customWidth="1"/>
    <col min="6" max="6" width="11.85546875" bestFit="1" customWidth="1"/>
    <col min="7" max="7" width="12.42578125" customWidth="1"/>
    <col min="8" max="12" width="13.42578125" customWidth="1"/>
  </cols>
  <sheetData>
    <row r="1" spans="1:12" ht="15.75" customHeight="1" x14ac:dyDescent="0.25">
      <c r="A1" s="23" t="s">
        <v>84</v>
      </c>
      <c r="B1" s="112" t="str">
        <f>A6</f>
        <v>Economias atingidas por interrupções sistemáticas</v>
      </c>
      <c r="C1" s="112"/>
      <c r="D1" s="112"/>
      <c r="E1" s="112"/>
      <c r="F1" s="11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DADOS!B7</f>
        <v>Quantidade de economias ativas atingidas por interrupções sistemáticas</v>
      </c>
      <c r="B4" s="4" t="str">
        <f>DADOS!E7</f>
        <v>QD015</v>
      </c>
      <c r="C4" s="62">
        <f>'IN071'!C4+'IN073'!C4</f>
        <v>3549685</v>
      </c>
      <c r="D4" s="62">
        <f>'IN071'!D4+'IN073'!D4</f>
        <v>2759737</v>
      </c>
      <c r="E4" s="62">
        <f>'IN071'!E4+'IN073'!E4</f>
        <v>27775102</v>
      </c>
      <c r="F4" s="62">
        <f>'IN071'!F4+'IN073'!F4</f>
        <v>23631538</v>
      </c>
      <c r="G4" s="62">
        <f>'IN071'!G4+'IN073'!G4</f>
        <v>20290324</v>
      </c>
      <c r="H4" s="62">
        <f>'IN071'!H4+'IN073'!H4</f>
        <v>22124650</v>
      </c>
      <c r="I4" s="62">
        <f>'IN071'!I4+'IN073'!I4</f>
        <v>26351132</v>
      </c>
      <c r="J4" s="62">
        <f>'IN071'!J4+'IN073'!J4</f>
        <v>37796758</v>
      </c>
      <c r="K4" s="70">
        <f>DADOS!N7</f>
        <v>3276647</v>
      </c>
      <c r="L4" s="70">
        <f>DADOS!O7</f>
        <v>3264227</v>
      </c>
    </row>
    <row r="5" spans="1:12" x14ac:dyDescent="0.25">
      <c r="A5" s="4" t="str">
        <f>DADOS!B8</f>
        <v>Quantidade de interrupções sistemáticas</v>
      </c>
      <c r="B5" s="4" t="str">
        <f>DADOS!E8</f>
        <v>QD021</v>
      </c>
      <c r="C5" s="62">
        <f>'IN071'!C5+'IN073'!C5</f>
        <v>1001</v>
      </c>
      <c r="D5" s="62">
        <f>'IN071'!D5+'IN073'!D5</f>
        <v>891</v>
      </c>
      <c r="E5" s="62">
        <f>'IN071'!E5+'IN073'!E5</f>
        <v>2574</v>
      </c>
      <c r="F5" s="62">
        <f>'IN071'!F5+'IN073'!F5</f>
        <v>3713</v>
      </c>
      <c r="G5" s="62">
        <f>'IN071'!G5+'IN073'!G5</f>
        <v>3506</v>
      </c>
      <c r="H5" s="62">
        <f>'IN071'!H5+'IN073'!H5</f>
        <v>5063</v>
      </c>
      <c r="I5" s="62">
        <f>'IN071'!I5+'IN073'!I5</f>
        <v>5000</v>
      </c>
      <c r="J5" s="62">
        <f>'IN071'!J5+'IN073'!J5</f>
        <v>9433</v>
      </c>
      <c r="K5" s="70">
        <f>DADOS!N8</f>
        <v>465</v>
      </c>
      <c r="L5" s="70">
        <f>DADOS!O8</f>
        <v>320</v>
      </c>
    </row>
    <row r="6" spans="1:12" x14ac:dyDescent="0.25">
      <c r="A6" s="61" t="str">
        <f>DADOS!B9</f>
        <v>Economias atingidas por interrupções sistemáticas</v>
      </c>
      <c r="B6" s="61" t="str">
        <f>DADOS!E9</f>
        <v>IN073</v>
      </c>
      <c r="C6" s="66">
        <f>C4/C5</f>
        <v>3546.1388611388611</v>
      </c>
      <c r="D6" s="66">
        <f>D4/D5</f>
        <v>3097.3479236812568</v>
      </c>
      <c r="E6" s="66">
        <f t="shared" ref="E6:L6" si="0">E4/E5</f>
        <v>10790.637917637918</v>
      </c>
      <c r="F6" s="66">
        <f t="shared" si="0"/>
        <v>6364.540263937517</v>
      </c>
      <c r="G6" s="66">
        <f t="shared" si="0"/>
        <v>5787.3143183114662</v>
      </c>
      <c r="H6" s="66">
        <f t="shared" si="0"/>
        <v>4369.8696425044436</v>
      </c>
      <c r="I6" s="66">
        <f t="shared" si="0"/>
        <v>5270.2263999999996</v>
      </c>
      <c r="J6" s="66">
        <f t="shared" si="0"/>
        <v>4006.8650482349199</v>
      </c>
      <c r="K6" s="66">
        <f t="shared" si="0"/>
        <v>7046.5526881720434</v>
      </c>
      <c r="L6" s="66">
        <f t="shared" si="0"/>
        <v>10200.709375</v>
      </c>
    </row>
    <row r="7" spans="1:12" x14ac:dyDescent="0.25">
      <c r="A7" s="4" t="s">
        <v>83</v>
      </c>
      <c r="B7" s="4"/>
      <c r="C7" s="12"/>
      <c r="D7" s="17">
        <f>(D6/C6)-1</f>
        <v>-0.12655763212653004</v>
      </c>
      <c r="E7" s="17">
        <f>(E6/D6)-1</f>
        <v>2.4838313885038268</v>
      </c>
      <c r="F7" s="17">
        <f t="shared" ref="F7:L7" si="1">(F6/E6)-1</f>
        <v>-0.4101794247461209</v>
      </c>
      <c r="G7" s="17">
        <f t="shared" si="1"/>
        <v>-9.0694051995664715E-2</v>
      </c>
      <c r="H7" s="17">
        <f t="shared" si="1"/>
        <v>-0.24492270470296196</v>
      </c>
      <c r="I7" s="17">
        <f t="shared" si="1"/>
        <v>0.20603744073691566</v>
      </c>
      <c r="J7" s="17">
        <f t="shared" si="1"/>
        <v>-0.23971671345372936</v>
      </c>
      <c r="K7" s="17">
        <f t="shared" si="1"/>
        <v>0.75861991939961859</v>
      </c>
      <c r="L7" s="17">
        <f t="shared" si="1"/>
        <v>0.44761698754092216</v>
      </c>
    </row>
    <row r="8" spans="1:12" x14ac:dyDescent="0.25">
      <c r="A8"/>
      <c r="B8"/>
      <c r="C8" s="80">
        <f>AVERAGE(C6:L6)</f>
        <v>6048.0202438618426</v>
      </c>
      <c r="D8" s="80">
        <f>C8</f>
        <v>6048.0202438618426</v>
      </c>
      <c r="E8" s="80">
        <f t="shared" ref="E8:L9" si="2">D8</f>
        <v>6048.0202438618426</v>
      </c>
      <c r="F8" s="80">
        <f t="shared" si="2"/>
        <v>6048.0202438618426</v>
      </c>
      <c r="G8" s="80">
        <f t="shared" si="2"/>
        <v>6048.0202438618426</v>
      </c>
      <c r="H8" s="80">
        <f t="shared" si="2"/>
        <v>6048.0202438618426</v>
      </c>
      <c r="I8" s="80">
        <f t="shared" si="2"/>
        <v>6048.0202438618426</v>
      </c>
      <c r="J8" s="80">
        <f t="shared" si="2"/>
        <v>6048.0202438618426</v>
      </c>
      <c r="K8" s="80">
        <f t="shared" si="2"/>
        <v>6048.0202438618426</v>
      </c>
      <c r="L8" s="80">
        <f t="shared" si="2"/>
        <v>6048.0202438618426</v>
      </c>
    </row>
    <row r="9" spans="1:12" x14ac:dyDescent="0.25">
      <c r="A9"/>
      <c r="B9"/>
      <c r="C9" s="80">
        <f>MEDIAN(C6:L6)</f>
        <v>5528.7703591557329</v>
      </c>
      <c r="D9" s="80">
        <f>C9</f>
        <v>5528.7703591557329</v>
      </c>
      <c r="E9" s="80">
        <f t="shared" si="2"/>
        <v>5528.7703591557329</v>
      </c>
      <c r="F9" s="80">
        <f t="shared" si="2"/>
        <v>5528.7703591557329</v>
      </c>
      <c r="G9" s="80">
        <f t="shared" si="2"/>
        <v>5528.7703591557329</v>
      </c>
      <c r="H9" s="80">
        <f t="shared" si="2"/>
        <v>5528.7703591557329</v>
      </c>
      <c r="I9" s="80">
        <f t="shared" si="2"/>
        <v>5528.7703591557329</v>
      </c>
      <c r="J9" s="80">
        <f t="shared" si="2"/>
        <v>5528.7703591557329</v>
      </c>
      <c r="K9" s="80">
        <f t="shared" si="2"/>
        <v>5528.7703591557329</v>
      </c>
      <c r="L9" s="80">
        <f t="shared" si="2"/>
        <v>5528.7703591557329</v>
      </c>
    </row>
    <row r="10" spans="1:12" x14ac:dyDescent="0.25">
      <c r="A10"/>
      <c r="B10"/>
      <c r="C10"/>
      <c r="D10" s="104" t="s">
        <v>23</v>
      </c>
      <c r="E10" s="105"/>
      <c r="F10" s="106"/>
      <c r="G10" s="64">
        <f>AVERAGE(D7:L7)</f>
        <v>0.30933724546180852</v>
      </c>
      <c r="J10" s="84">
        <f>MAX(C6:L6)</f>
        <v>10790.637917637918</v>
      </c>
    </row>
    <row r="11" spans="1:12" x14ac:dyDescent="0.25">
      <c r="A11"/>
      <c r="B11"/>
      <c r="C11"/>
      <c r="D11" s="104" t="s">
        <v>24</v>
      </c>
      <c r="E11" s="105"/>
      <c r="F11" s="106"/>
      <c r="G11" s="64">
        <f>MEDIAN(D7:L7)</f>
        <v>-9.0694051995664715E-2</v>
      </c>
      <c r="J11" s="84">
        <f>MIN(C6:L6)</f>
        <v>3097.3479236812568</v>
      </c>
    </row>
    <row r="12" spans="1:12" x14ac:dyDescent="0.25">
      <c r="A12"/>
      <c r="B12"/>
      <c r="C12" s="14" t="s">
        <v>22</v>
      </c>
      <c r="D12" s="14"/>
      <c r="E12" s="14"/>
      <c r="G12" s="2"/>
    </row>
    <row r="13" spans="1:12" x14ac:dyDescent="0.25">
      <c r="A13"/>
      <c r="B13"/>
      <c r="C13" s="113" t="s">
        <v>25</v>
      </c>
      <c r="D13" s="113"/>
      <c r="E13" s="113"/>
      <c r="F13" s="113"/>
      <c r="G13" s="65">
        <f>L6+(L6*G11)</f>
        <v>9275.5657085510866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6048.0202438618426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2655.3052512505383</v>
      </c>
    </row>
    <row r="19" spans="1:6" x14ac:dyDescent="0.25">
      <c r="A19"/>
      <c r="B19"/>
      <c r="C19"/>
      <c r="D19"/>
      <c r="E19" s="59" t="s">
        <v>34</v>
      </c>
      <c r="F19" s="58">
        <f>F17+F18</f>
        <v>8703.3254951123818</v>
      </c>
    </row>
    <row r="20" spans="1:6" x14ac:dyDescent="0.25">
      <c r="A20"/>
      <c r="B20"/>
      <c r="C20"/>
      <c r="D20"/>
      <c r="E20" s="59" t="s">
        <v>35</v>
      </c>
      <c r="F20" s="58">
        <f>F17-F18</f>
        <v>3392.7149926113043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  <row r="31" spans="1:6" x14ac:dyDescent="0.25">
      <c r="A31"/>
      <c r="B31"/>
      <c r="C31"/>
      <c r="D31"/>
      <c r="E31"/>
    </row>
    <row r="32" spans="1:6" x14ac:dyDescent="0.25">
      <c r="D32"/>
      <c r="E32"/>
    </row>
  </sheetData>
  <mergeCells count="6">
    <mergeCell ref="B1:F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L28"/>
  <sheetViews>
    <sheetView workbookViewId="0">
      <selection activeCell="A23" sqref="A23:XFD37"/>
    </sheetView>
  </sheetViews>
  <sheetFormatPr defaultRowHeight="15" x14ac:dyDescent="0.25"/>
  <cols>
    <col min="1" max="1" width="62" style="20" customWidth="1"/>
    <col min="2" max="2" width="10.28515625" style="20" customWidth="1"/>
    <col min="3" max="3" width="12.140625" style="20" bestFit="1" customWidth="1"/>
    <col min="4" max="4" width="12.42578125" style="20" customWidth="1"/>
    <col min="5" max="5" width="13.7109375" style="20" bestFit="1" customWidth="1"/>
    <col min="6" max="8" width="11.140625" bestFit="1" customWidth="1"/>
    <col min="9" max="9" width="11.28515625" bestFit="1" customWidth="1"/>
    <col min="10" max="10" width="12.140625" bestFit="1" customWidth="1"/>
    <col min="11" max="12" width="11.140625" bestFit="1" customWidth="1"/>
  </cols>
  <sheetData>
    <row r="1" spans="1:12" ht="15.75" customHeight="1" x14ac:dyDescent="0.25">
      <c r="A1" s="23" t="e">
        <f>-B6</f>
        <v>#VALUE!</v>
      </c>
      <c r="B1" s="112" t="str">
        <f>A6</f>
        <v>Duração média das paralisações</v>
      </c>
      <c r="C1" s="112"/>
      <c r="D1" s="112"/>
      <c r="E1" s="112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DADOS!B19</f>
        <v>Quantidades de paralisações no sistema de distribuição de água</v>
      </c>
      <c r="B4" s="4" t="str">
        <f>DADOS!E19</f>
        <v>QD002</v>
      </c>
      <c r="C4" s="21">
        <f>DADOS!F19</f>
        <v>996</v>
      </c>
      <c r="D4" s="21">
        <f>DADOS!G19</f>
        <v>891</v>
      </c>
      <c r="E4" s="21">
        <f>DADOS!H19</f>
        <v>2435</v>
      </c>
      <c r="F4" s="21">
        <f>DADOS!I19</f>
        <v>3647</v>
      </c>
      <c r="G4" s="21">
        <f>DADOS!J19</f>
        <v>3487</v>
      </c>
      <c r="H4" s="21">
        <f>DADOS!K19</f>
        <v>4931</v>
      </c>
      <c r="I4" s="21">
        <f>DADOS!L19</f>
        <v>4925</v>
      </c>
      <c r="J4" s="21">
        <f>DADOS!M19</f>
        <v>9391</v>
      </c>
      <c r="K4" s="21">
        <f>DADOS!N19</f>
        <v>3794</v>
      </c>
      <c r="L4" s="21">
        <f>DADOS!O19</f>
        <v>2986</v>
      </c>
    </row>
    <row r="5" spans="1:12" x14ac:dyDescent="0.25">
      <c r="A5" s="4" t="str">
        <f>DADOS!B20</f>
        <v>Duração das paralisações</v>
      </c>
      <c r="B5" s="4" t="str">
        <f>DADOS!E20</f>
        <v>QD003</v>
      </c>
      <c r="C5" s="68">
        <f>DADOS!F20</f>
        <v>434.58333333333331</v>
      </c>
      <c r="D5" s="68">
        <f>DADOS!G20</f>
        <v>432.75</v>
      </c>
      <c r="E5" s="68">
        <f>DADOS!H20</f>
        <v>1144.0833333333333</v>
      </c>
      <c r="F5" s="68">
        <f>DADOS!I20</f>
        <v>2070.2916666666665</v>
      </c>
      <c r="G5" s="68">
        <f>DADOS!J20</f>
        <v>1842.9166666666667</v>
      </c>
      <c r="H5" s="68">
        <f>DADOS!K20</f>
        <v>2928.3333333333335</v>
      </c>
      <c r="I5" s="68">
        <f>DADOS!L20</f>
        <v>2765.0833333333335</v>
      </c>
      <c r="J5" s="68">
        <f>DADOS!M20</f>
        <v>5177.583333333333</v>
      </c>
      <c r="K5" s="68">
        <f>DADOS!N20</f>
        <v>2194.2083333333335</v>
      </c>
      <c r="L5" s="68">
        <f>DADOS!O20</f>
        <v>2885.3333333333335</v>
      </c>
    </row>
    <row r="6" spans="1:12" x14ac:dyDescent="0.25">
      <c r="A6" s="61" t="str">
        <f>DADOS!B21</f>
        <v>Duração média das paralisações</v>
      </c>
      <c r="B6" s="61" t="str">
        <f>DADOS!E21</f>
        <v>IN072</v>
      </c>
      <c r="C6" s="69">
        <f>C5/C4</f>
        <v>0.43632864792503345</v>
      </c>
      <c r="D6" s="69">
        <f t="shared" ref="D6:L6" si="0">D5/D4</f>
        <v>0.48569023569023567</v>
      </c>
      <c r="E6" s="69">
        <f t="shared" si="0"/>
        <v>0.46984941820670773</v>
      </c>
      <c r="F6" s="69">
        <f t="shared" si="0"/>
        <v>0.5676697742436706</v>
      </c>
      <c r="G6" s="69">
        <f t="shared" si="0"/>
        <v>0.52851065863684166</v>
      </c>
      <c r="H6" s="69">
        <f t="shared" si="0"/>
        <v>0.59386196173866024</v>
      </c>
      <c r="I6" s="69">
        <f t="shared" si="0"/>
        <v>0.56143824027072764</v>
      </c>
      <c r="J6" s="69">
        <f t="shared" si="0"/>
        <v>0.55133461115252191</v>
      </c>
      <c r="K6" s="69">
        <f t="shared" si="0"/>
        <v>0.57833640836408373</v>
      </c>
      <c r="L6" s="69">
        <f t="shared" si="0"/>
        <v>0.96628711766019204</v>
      </c>
    </row>
    <row r="7" spans="1:12" x14ac:dyDescent="0.25">
      <c r="A7" s="4" t="s">
        <v>83</v>
      </c>
      <c r="B7" s="4"/>
      <c r="C7" s="12"/>
      <c r="D7" s="17">
        <f>(D6/C6)-1</f>
        <v>0.11312937621662456</v>
      </c>
      <c r="E7" s="17">
        <f>(E6/D6)-1</f>
        <v>-3.2615062687055829E-2</v>
      </c>
      <c r="F7" s="17">
        <f t="shared" ref="F7:L7" si="1">(F6/E6)-1</f>
        <v>0.20819512006701535</v>
      </c>
      <c r="G7" s="17">
        <f t="shared" si="1"/>
        <v>-6.8982210051613535E-2</v>
      </c>
      <c r="H7" s="17">
        <f t="shared" si="1"/>
        <v>0.12365181673038639</v>
      </c>
      <c r="I7" s="17">
        <f t="shared" si="1"/>
        <v>-5.4598077595347405E-2</v>
      </c>
      <c r="J7" s="17">
        <f t="shared" si="1"/>
        <v>-1.7995976037068151E-2</v>
      </c>
      <c r="K7" s="17">
        <f t="shared" si="1"/>
        <v>4.8975334878970544E-2</v>
      </c>
      <c r="L7" s="17">
        <f t="shared" si="1"/>
        <v>0.67080457616958333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104" t="s">
        <v>23</v>
      </c>
      <c r="E10" s="105"/>
      <c r="F10" s="106"/>
      <c r="G10" s="67">
        <f>AVERAGE(D7:L7)</f>
        <v>0.11006276641016614</v>
      </c>
    </row>
    <row r="11" spans="1:12" x14ac:dyDescent="0.25">
      <c r="A11"/>
      <c r="B11"/>
      <c r="C11"/>
      <c r="D11" s="104" t="s">
        <v>24</v>
      </c>
      <c r="E11" s="105"/>
      <c r="F11" s="106"/>
      <c r="G11" s="67">
        <f>MEDIAN(D7:L7)</f>
        <v>4.8975334878970544E-2</v>
      </c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13" t="s">
        <v>25</v>
      </c>
      <c r="D13" s="113"/>
      <c r="E13" s="113"/>
      <c r="F13" s="113"/>
      <c r="G13" s="69">
        <f>L6+(L6*G11)</f>
        <v>1.0136113528368351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0.57393070738886753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0.14707619550818254</v>
      </c>
    </row>
    <row r="19" spans="1:6" x14ac:dyDescent="0.25">
      <c r="A19"/>
      <c r="B19"/>
      <c r="C19"/>
      <c r="D19"/>
      <c r="E19" s="59" t="s">
        <v>34</v>
      </c>
      <c r="F19" s="58">
        <f>F17+F18</f>
        <v>0.72100690289705005</v>
      </c>
    </row>
    <row r="20" spans="1:6" x14ac:dyDescent="0.25">
      <c r="A20"/>
      <c r="B20"/>
      <c r="C20"/>
      <c r="D20"/>
      <c r="E20" s="59" t="s">
        <v>35</v>
      </c>
      <c r="F20" s="58">
        <f>F17-F18</f>
        <v>0.42685451188068502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L26"/>
  <sheetViews>
    <sheetView workbookViewId="0">
      <selection activeCell="E23" sqref="E23"/>
    </sheetView>
  </sheetViews>
  <sheetFormatPr defaultRowHeight="15" x14ac:dyDescent="0.25"/>
  <cols>
    <col min="1" max="1" width="47.28515625" style="20" customWidth="1"/>
    <col min="2" max="2" width="10.28515625" style="20" customWidth="1"/>
    <col min="3" max="3" width="12.140625" style="20" bestFit="1" customWidth="1"/>
    <col min="4" max="4" width="12.42578125" style="20" customWidth="1"/>
    <col min="5" max="5" width="13.7109375" style="20" bestFit="1" customWidth="1"/>
    <col min="6" max="8" width="11.140625" bestFit="1" customWidth="1"/>
    <col min="9" max="9" width="10.140625" customWidth="1"/>
    <col min="10" max="11" width="11.140625" bestFit="1" customWidth="1"/>
    <col min="12" max="12" width="10.140625" bestFit="1" customWidth="1"/>
  </cols>
  <sheetData>
    <row r="1" spans="1:12" ht="15.75" customHeight="1" x14ac:dyDescent="0.25">
      <c r="A1" s="23" t="s">
        <v>3</v>
      </c>
      <c r="B1" s="112" t="str">
        <f>A6</f>
        <v>Duração média das interrupções sistemáticas</v>
      </c>
      <c r="C1" s="112"/>
      <c r="D1" s="112"/>
      <c r="E1" s="112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DADOS!B10</f>
        <v>Quantidade de interrupções sistemáticas</v>
      </c>
      <c r="B4" s="4" t="str">
        <f>DADOS!E10</f>
        <v>QD021</v>
      </c>
      <c r="C4" s="21">
        <f>DADOS!F10</f>
        <v>5</v>
      </c>
      <c r="D4" s="21">
        <f>DADOS!G10</f>
        <v>0</v>
      </c>
      <c r="E4" s="21">
        <f>DADOS!H10</f>
        <v>139</v>
      </c>
      <c r="F4" s="21">
        <f>DADOS!I10</f>
        <v>66</v>
      </c>
      <c r="G4" s="21">
        <f>DADOS!J10</f>
        <v>19</v>
      </c>
      <c r="H4" s="21">
        <f>DADOS!K10</f>
        <v>132</v>
      </c>
      <c r="I4" s="21">
        <f>DADOS!L10</f>
        <v>75</v>
      </c>
      <c r="J4" s="21">
        <f>DADOS!M10</f>
        <v>42</v>
      </c>
      <c r="K4" s="21">
        <f>DADOS!N10</f>
        <v>465</v>
      </c>
      <c r="L4" s="21">
        <f>DADOS!O10</f>
        <v>320</v>
      </c>
    </row>
    <row r="5" spans="1:12" x14ac:dyDescent="0.25">
      <c r="A5" s="4" t="str">
        <f>DADOS!B11</f>
        <v>Duração das interrupções sistemáticas</v>
      </c>
      <c r="B5" s="4" t="str">
        <f>DADOS!E11</f>
        <v>QD022</v>
      </c>
      <c r="C5" s="68">
        <f>DADOS!F11</f>
        <v>12693.277916666666</v>
      </c>
      <c r="D5" s="68">
        <v>0</v>
      </c>
      <c r="E5" s="68">
        <f>DADOS!H11</f>
        <v>3160.625</v>
      </c>
      <c r="F5" s="68">
        <f>DADOS!I11</f>
        <v>2984.9166666666665</v>
      </c>
      <c r="G5" s="68">
        <f>DADOS!J11</f>
        <v>807.44375000000002</v>
      </c>
      <c r="H5" s="68">
        <f>DADOS!K11</f>
        <v>591.31319444455551</v>
      </c>
      <c r="I5" s="68">
        <f>DADOS!L11</f>
        <v>404.48680555550521</v>
      </c>
      <c r="J5" s="68">
        <f>DADOS!M11</f>
        <v>1011.3944444430022</v>
      </c>
      <c r="K5" s="68">
        <f>DADOS!N11</f>
        <v>617.69791666613969</v>
      </c>
      <c r="L5" s="68">
        <f>DADOS!O11</f>
        <v>215.81319444444443</v>
      </c>
    </row>
    <row r="6" spans="1:12" x14ac:dyDescent="0.25">
      <c r="A6" s="61" t="str">
        <f>DADOS!B12</f>
        <v>Duração média das interrupções sistemáticas</v>
      </c>
      <c r="B6" s="61" t="str">
        <f>DADOS!E12</f>
        <v>IN074</v>
      </c>
      <c r="C6" s="69">
        <f>C5/C4</f>
        <v>2538.6555833333332</v>
      </c>
      <c r="D6" s="69" t="s">
        <v>55</v>
      </c>
      <c r="E6" s="69">
        <f t="shared" ref="E6:K6" si="0">E5/E4</f>
        <v>22.738309352517987</v>
      </c>
      <c r="F6" s="69">
        <f t="shared" si="0"/>
        <v>45.226010101010097</v>
      </c>
      <c r="G6" s="69">
        <f t="shared" si="0"/>
        <v>42.497039473684211</v>
      </c>
      <c r="H6" s="69">
        <f t="shared" si="0"/>
        <v>4.4796454124587539</v>
      </c>
      <c r="I6" s="69">
        <f t="shared" si="0"/>
        <v>5.3931574074067363</v>
      </c>
      <c r="J6" s="69">
        <f t="shared" si="0"/>
        <v>24.080820105785765</v>
      </c>
      <c r="K6" s="69">
        <f t="shared" si="0"/>
        <v>1.3283826164863219</v>
      </c>
      <c r="L6" s="69">
        <f>L5/L4</f>
        <v>0.67441623263888884</v>
      </c>
    </row>
    <row r="7" spans="1:12" x14ac:dyDescent="0.25">
      <c r="A7" s="4" t="s">
        <v>83</v>
      </c>
      <c r="B7" s="4"/>
      <c r="C7" s="12"/>
      <c r="D7" s="17"/>
      <c r="E7" s="17"/>
      <c r="F7" s="17">
        <f t="shared" ref="F7:L7" si="1">(F6/E6)-1</f>
        <v>0.98897857355440877</v>
      </c>
      <c r="G7" s="17">
        <f t="shared" si="1"/>
        <v>-6.0340733600661722E-2</v>
      </c>
      <c r="H7" s="17">
        <f t="shared" si="1"/>
        <v>-0.89458923567528226</v>
      </c>
      <c r="I7" s="17">
        <f t="shared" si="1"/>
        <v>0.20392506790991316</v>
      </c>
      <c r="J7" s="17">
        <f t="shared" si="1"/>
        <v>3.4650690285275516</v>
      </c>
      <c r="K7" s="17">
        <f t="shared" si="1"/>
        <v>-0.94483648768394068</v>
      </c>
      <c r="L7" s="17">
        <f t="shared" si="1"/>
        <v>-0.49230272643677497</v>
      </c>
    </row>
    <row r="8" spans="1:12" x14ac:dyDescent="0.25">
      <c r="A8"/>
      <c r="B8"/>
      <c r="C8"/>
      <c r="D8"/>
      <c r="E8"/>
    </row>
    <row r="9" spans="1:12" x14ac:dyDescent="0.25">
      <c r="A9"/>
      <c r="B9"/>
      <c r="C9"/>
      <c r="D9"/>
      <c r="E9"/>
    </row>
    <row r="10" spans="1:12" x14ac:dyDescent="0.25">
      <c r="A10"/>
      <c r="B10"/>
      <c r="C10"/>
      <c r="D10" s="104" t="s">
        <v>23</v>
      </c>
      <c r="E10" s="105"/>
      <c r="F10" s="106"/>
      <c r="G10" s="67">
        <f>AVERAGE(D7:L7)</f>
        <v>0.32370049808503054</v>
      </c>
    </row>
    <row r="11" spans="1:12" x14ac:dyDescent="0.25">
      <c r="A11"/>
      <c r="B11"/>
      <c r="C11"/>
      <c r="D11" s="104" t="s">
        <v>24</v>
      </c>
      <c r="E11" s="105"/>
      <c r="F11" s="106"/>
      <c r="G11" s="67">
        <f>MEDIAN(D7:L7)</f>
        <v>-6.0340733600661722E-2</v>
      </c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13" t="s">
        <v>25</v>
      </c>
      <c r="D13" s="113"/>
      <c r="E13" s="113"/>
      <c r="F13" s="113"/>
      <c r="G13" s="69">
        <f>L6+(L6*G11)</f>
        <v>0.63372146240926375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298.34148489281358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840.29035726403833</v>
      </c>
    </row>
    <row r="19" spans="1:6" x14ac:dyDescent="0.25">
      <c r="A19"/>
      <c r="B19"/>
      <c r="C19"/>
      <c r="D19"/>
      <c r="E19" s="59" t="s">
        <v>34</v>
      </c>
      <c r="F19" s="58">
        <f>F17+F18</f>
        <v>1138.6318421568519</v>
      </c>
    </row>
    <row r="20" spans="1:6" x14ac:dyDescent="0.25">
      <c r="A20"/>
      <c r="B20"/>
      <c r="C20"/>
      <c r="D20"/>
      <c r="E20" s="59" t="s">
        <v>35</v>
      </c>
      <c r="F20" s="58">
        <f>F17-F18</f>
        <v>-541.94887237122475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L30"/>
  <sheetViews>
    <sheetView workbookViewId="0">
      <selection activeCell="C10" sqref="C10"/>
    </sheetView>
  </sheetViews>
  <sheetFormatPr defaultRowHeight="15" x14ac:dyDescent="0.25"/>
  <cols>
    <col min="1" max="1" width="43.5703125" style="20" customWidth="1"/>
    <col min="2" max="2" width="10.28515625" style="20" customWidth="1"/>
    <col min="3" max="3" width="12.140625" style="20" bestFit="1" customWidth="1"/>
    <col min="4" max="4" width="12.42578125" style="20" customWidth="1"/>
    <col min="5" max="5" width="13.7109375" style="20" bestFit="1" customWidth="1"/>
    <col min="6" max="6" width="12.140625" bestFit="1" customWidth="1"/>
    <col min="7" max="8" width="11.140625" bestFit="1" customWidth="1"/>
    <col min="9" max="9" width="11.28515625" bestFit="1" customWidth="1"/>
    <col min="10" max="10" width="12.140625" bestFit="1" customWidth="1"/>
    <col min="11" max="11" width="11.140625" bestFit="1" customWidth="1"/>
    <col min="12" max="12" width="10.140625" bestFit="1" customWidth="1"/>
  </cols>
  <sheetData>
    <row r="1" spans="1:12" ht="15.75" customHeight="1" x14ac:dyDescent="0.25">
      <c r="A1" s="23" t="s">
        <v>3</v>
      </c>
      <c r="B1" s="112" t="str">
        <f>A6</f>
        <v>Duração média das interrupções sistemáticas</v>
      </c>
      <c r="C1" s="112"/>
      <c r="D1" s="112"/>
      <c r="E1" s="112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DADOS!B10</f>
        <v>Quantidade de interrupções sistemáticas</v>
      </c>
      <c r="B4" s="4" t="str">
        <f>DADOS!E10</f>
        <v>QD021</v>
      </c>
      <c r="C4" s="21">
        <f>'IN072'!C4+'IN074'!C4</f>
        <v>1001</v>
      </c>
      <c r="D4" s="21">
        <f>'IN072'!D4+'IN074'!D4</f>
        <v>891</v>
      </c>
      <c r="E4" s="21">
        <f>'IN072'!E4+'IN074'!E4</f>
        <v>2574</v>
      </c>
      <c r="F4" s="21">
        <f>'IN072'!F4+'IN074'!F4</f>
        <v>3713</v>
      </c>
      <c r="G4" s="21">
        <f>'IN072'!G4+'IN074'!G4</f>
        <v>3506</v>
      </c>
      <c r="H4" s="21">
        <f>'IN072'!H4+'IN074'!H4</f>
        <v>5063</v>
      </c>
      <c r="I4" s="21">
        <f>'IN072'!I4+'IN074'!I4</f>
        <v>5000</v>
      </c>
      <c r="J4" s="21">
        <f>'IN072'!J4+'IN074'!J4</f>
        <v>9433</v>
      </c>
      <c r="K4" s="76">
        <f>DADOS!N10</f>
        <v>465</v>
      </c>
      <c r="L4" s="76">
        <f>DADOS!O10</f>
        <v>320</v>
      </c>
    </row>
    <row r="5" spans="1:12" x14ac:dyDescent="0.25">
      <c r="A5" s="4" t="str">
        <f>DADOS!B11</f>
        <v>Duração das interrupções sistemáticas</v>
      </c>
      <c r="B5" s="4" t="str">
        <f>DADOS!E11</f>
        <v>QD022</v>
      </c>
      <c r="C5" s="68">
        <f>'IN072'!C5+'IN074'!C5</f>
        <v>13127.86125</v>
      </c>
      <c r="D5" s="68">
        <f>'IN072'!D5+'IN074'!D5</f>
        <v>432.75</v>
      </c>
      <c r="E5" s="68">
        <f>'IN072'!E5+'IN074'!E5</f>
        <v>4304.708333333333</v>
      </c>
      <c r="F5" s="68">
        <f>'IN072'!F5+'IN074'!F5</f>
        <v>5055.208333333333</v>
      </c>
      <c r="G5" s="68">
        <f>'IN072'!G5+'IN074'!G5</f>
        <v>2650.3604166666669</v>
      </c>
      <c r="H5" s="68">
        <f>'IN072'!H5+'IN074'!H5</f>
        <v>3519.6465277778889</v>
      </c>
      <c r="I5" s="68">
        <f>'IN072'!I5+'IN074'!I5</f>
        <v>3169.5701388888388</v>
      </c>
      <c r="J5" s="68">
        <f>'IN072'!J5+'IN074'!J5</f>
        <v>6188.9777777763356</v>
      </c>
      <c r="K5" s="77">
        <f>DADOS!N11</f>
        <v>617.69791666613969</v>
      </c>
      <c r="L5" s="77">
        <f>DADOS!O11</f>
        <v>215.81319444444443</v>
      </c>
    </row>
    <row r="6" spans="1:12" x14ac:dyDescent="0.25">
      <c r="A6" s="61" t="str">
        <f>DADOS!B12</f>
        <v>Duração média das interrupções sistemáticas</v>
      </c>
      <c r="B6" s="61" t="str">
        <f>DADOS!E12</f>
        <v>IN074</v>
      </c>
      <c r="C6" s="69">
        <f>C5/C4</f>
        <v>13.114746503496503</v>
      </c>
      <c r="D6" s="69">
        <f>D5/D4</f>
        <v>0.48569023569023567</v>
      </c>
      <c r="E6" s="69">
        <f t="shared" ref="E6:K6" si="0">E5/E4</f>
        <v>1.6723808598808598</v>
      </c>
      <c r="F6" s="69">
        <f t="shared" si="0"/>
        <v>1.3614889128287997</v>
      </c>
      <c r="G6" s="69">
        <f t="shared" si="0"/>
        <v>0.75594991918615717</v>
      </c>
      <c r="H6" s="69">
        <f t="shared" si="0"/>
        <v>0.69517016152042044</v>
      </c>
      <c r="I6" s="69">
        <f t="shared" si="0"/>
        <v>0.63391402777776773</v>
      </c>
      <c r="J6" s="69">
        <f t="shared" si="0"/>
        <v>0.65609856649807441</v>
      </c>
      <c r="K6" s="69">
        <f t="shared" si="0"/>
        <v>1.3283826164863219</v>
      </c>
      <c r="L6" s="69">
        <f>L5/L4</f>
        <v>0.67441623263888884</v>
      </c>
    </row>
    <row r="7" spans="1:12" x14ac:dyDescent="0.25">
      <c r="A7" s="4" t="s">
        <v>83</v>
      </c>
      <c r="B7" s="4"/>
      <c r="C7" s="12"/>
      <c r="D7" s="17">
        <f>(D6/C6)-1</f>
        <v>-0.9629660980819762</v>
      </c>
      <c r="E7" s="17">
        <f>(E6/D6)-1</f>
        <v>2.4433075589921343</v>
      </c>
      <c r="F7" s="17">
        <f t="shared" ref="F7:L7" si="1">(F6/E6)-1</f>
        <v>-0.18589781461275989</v>
      </c>
      <c r="G7" s="17">
        <f t="shared" si="1"/>
        <v>-0.44476233918387109</v>
      </c>
      <c r="H7" s="17">
        <f t="shared" si="1"/>
        <v>-8.0401831024958903E-2</v>
      </c>
      <c r="I7" s="17">
        <f t="shared" si="1"/>
        <v>-8.8116747716383892E-2</v>
      </c>
      <c r="J7" s="17">
        <f t="shared" si="1"/>
        <v>3.4996131570200761E-2</v>
      </c>
      <c r="K7" s="17">
        <f t="shared" si="1"/>
        <v>1.0246692864710298</v>
      </c>
      <c r="L7" s="17">
        <f t="shared" si="1"/>
        <v>-0.49230272643677497</v>
      </c>
    </row>
    <row r="8" spans="1:12" x14ac:dyDescent="0.25">
      <c r="A8"/>
      <c r="B8"/>
      <c r="C8" s="80">
        <f>AVERAGE(C6:L6)</f>
        <v>2.1378238036004027</v>
      </c>
      <c r="D8" s="80">
        <f>C8</f>
        <v>2.1378238036004027</v>
      </c>
      <c r="E8" s="80">
        <f t="shared" ref="E8:L13" si="2">D8</f>
        <v>2.1378238036004027</v>
      </c>
      <c r="F8" s="80">
        <f t="shared" si="2"/>
        <v>2.1378238036004027</v>
      </c>
      <c r="G8" s="80">
        <f t="shared" si="2"/>
        <v>2.1378238036004027</v>
      </c>
      <c r="H8" s="80">
        <f t="shared" si="2"/>
        <v>2.1378238036004027</v>
      </c>
      <c r="I8" s="80">
        <f t="shared" si="2"/>
        <v>2.1378238036004027</v>
      </c>
      <c r="J8" s="80">
        <f t="shared" si="2"/>
        <v>2.1378238036004027</v>
      </c>
      <c r="K8" s="80">
        <f t="shared" si="2"/>
        <v>2.1378238036004027</v>
      </c>
      <c r="L8" s="80">
        <f t="shared" si="2"/>
        <v>2.1378238036004027</v>
      </c>
    </row>
    <row r="9" spans="1:12" x14ac:dyDescent="0.25">
      <c r="A9"/>
      <c r="B9"/>
      <c r="C9" s="80">
        <f>MEDIAN(C6:L6)</f>
        <v>0.7255600403532888</v>
      </c>
      <c r="D9" s="80">
        <f>C9</f>
        <v>0.7255600403532888</v>
      </c>
      <c r="E9" s="80">
        <f t="shared" si="2"/>
        <v>0.7255600403532888</v>
      </c>
      <c r="F9" s="80">
        <f t="shared" si="2"/>
        <v>0.7255600403532888</v>
      </c>
      <c r="G9" s="80">
        <f t="shared" si="2"/>
        <v>0.7255600403532888</v>
      </c>
      <c r="H9" s="80">
        <f t="shared" si="2"/>
        <v>0.7255600403532888</v>
      </c>
      <c r="I9" s="80">
        <f t="shared" si="2"/>
        <v>0.7255600403532888</v>
      </c>
      <c r="J9" s="80">
        <f t="shared" si="2"/>
        <v>0.7255600403532888</v>
      </c>
      <c r="K9" s="80">
        <f t="shared" si="2"/>
        <v>0.7255600403532888</v>
      </c>
      <c r="L9" s="80">
        <f t="shared" si="2"/>
        <v>0.7255600403532888</v>
      </c>
    </row>
    <row r="10" spans="1:12" x14ac:dyDescent="0.25">
      <c r="A10"/>
      <c r="B10"/>
      <c r="C10"/>
      <c r="D10" s="104" t="s">
        <v>23</v>
      </c>
      <c r="E10" s="105"/>
      <c r="F10" s="106"/>
      <c r="G10" s="67">
        <f>AVERAGE(D7:L7)</f>
        <v>0.13872504666407112</v>
      </c>
      <c r="J10" s="80">
        <f t="shared" si="2"/>
        <v>0</v>
      </c>
    </row>
    <row r="11" spans="1:12" x14ac:dyDescent="0.25">
      <c r="A11"/>
      <c r="B11"/>
      <c r="C11"/>
      <c r="D11" s="104" t="s">
        <v>24</v>
      </c>
      <c r="E11" s="105"/>
      <c r="F11" s="106"/>
      <c r="G11" s="67">
        <f>MEDIAN(D7:L7)</f>
        <v>-8.8116747716383892E-2</v>
      </c>
      <c r="J11" s="80">
        <f t="shared" si="2"/>
        <v>0</v>
      </c>
    </row>
    <row r="12" spans="1:12" x14ac:dyDescent="0.25">
      <c r="A12"/>
      <c r="B12"/>
      <c r="C12" s="14" t="s">
        <v>22</v>
      </c>
      <c r="D12" s="14"/>
      <c r="E12" s="14"/>
      <c r="J12" s="80">
        <f t="shared" si="2"/>
        <v>0</v>
      </c>
    </row>
    <row r="13" spans="1:12" x14ac:dyDescent="0.25">
      <c r="A13"/>
      <c r="B13"/>
      <c r="C13" s="113" t="s">
        <v>25</v>
      </c>
      <c r="D13" s="113"/>
      <c r="E13" s="113"/>
      <c r="F13" s="113"/>
      <c r="G13" s="69">
        <f>L6+(L6*G11)</f>
        <v>0.61498886761161375</v>
      </c>
      <c r="H13" s="85" t="str">
        <f>IF(G13=L6+(L6*G11),"mediana","média")</f>
        <v>mediana</v>
      </c>
      <c r="J13" s="80">
        <f t="shared" si="2"/>
        <v>0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2.1378238036004027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3.8770914970984118</v>
      </c>
    </row>
    <row r="19" spans="1:6" x14ac:dyDescent="0.25">
      <c r="A19"/>
      <c r="B19"/>
      <c r="C19"/>
      <c r="D19"/>
      <c r="E19" s="59" t="s">
        <v>34</v>
      </c>
      <c r="F19" s="58">
        <f>F17+F18</f>
        <v>6.0149153006988145</v>
      </c>
    </row>
    <row r="20" spans="1:6" x14ac:dyDescent="0.25">
      <c r="A20"/>
      <c r="B20"/>
      <c r="C20"/>
      <c r="D20"/>
      <c r="E20" s="59" t="s">
        <v>35</v>
      </c>
      <c r="F20" s="58">
        <f>F17-F18</f>
        <v>-1.7392676934980091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  <row r="29" spans="1:6" x14ac:dyDescent="0.25">
      <c r="A29"/>
      <c r="B29"/>
      <c r="C29"/>
      <c r="D29"/>
      <c r="E29"/>
    </row>
    <row r="30" spans="1:6" x14ac:dyDescent="0.25">
      <c r="A30"/>
      <c r="B30"/>
      <c r="C30"/>
      <c r="D30"/>
      <c r="E30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L28"/>
  <sheetViews>
    <sheetView workbookViewId="0">
      <selection activeCell="J21" sqref="J21"/>
    </sheetView>
  </sheetViews>
  <sheetFormatPr defaultRowHeight="15" x14ac:dyDescent="0.25"/>
  <cols>
    <col min="1" max="1" width="52.28515625" style="20" bestFit="1" customWidth="1"/>
    <col min="2" max="2" width="10.28515625" style="20" customWidth="1"/>
    <col min="3" max="5" width="10.7109375" style="20" customWidth="1"/>
    <col min="6" max="6" width="12.140625" customWidth="1"/>
    <col min="7" max="12" width="10.7109375" customWidth="1"/>
    <col min="17" max="17" width="11.42578125" customWidth="1"/>
  </cols>
  <sheetData>
    <row r="1" spans="1:12" ht="15.75" customHeight="1" x14ac:dyDescent="0.25">
      <c r="A1" s="23" t="s">
        <v>4</v>
      </c>
      <c r="B1" s="112" t="str">
        <f>A6</f>
        <v>Extravasamentos de esgotos por extensão de rede</v>
      </c>
      <c r="C1" s="112"/>
      <c r="D1" s="112"/>
      <c r="E1" s="112"/>
      <c r="F1" s="11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DADOS!B13</f>
        <v>Extensão da rede de esgotos</v>
      </c>
      <c r="B4" s="4" t="str">
        <f>DADOS!E13</f>
        <v>ES004</v>
      </c>
      <c r="C4" s="62">
        <f>DADOS!F13</f>
        <v>9201.4599999999991</v>
      </c>
      <c r="D4" s="62">
        <f>DADOS!G13</f>
        <v>9420.39</v>
      </c>
      <c r="E4" s="62">
        <f>DADOS!H13</f>
        <v>9707.2100000000009</v>
      </c>
      <c r="F4" s="62">
        <f>DADOS!I13</f>
        <v>9893.8900000000031</v>
      </c>
      <c r="G4" s="62">
        <f>DADOS!J13</f>
        <v>10101.140000000003</v>
      </c>
      <c r="H4" s="62">
        <f>DADOS!K13</f>
        <v>11098.161880000001</v>
      </c>
      <c r="I4" s="62">
        <f>DADOS!L13</f>
        <v>12817.20831</v>
      </c>
      <c r="J4" s="62">
        <f>DADOS!M13</f>
        <v>13163.15257</v>
      </c>
      <c r="K4" s="62">
        <f>DADOS!N13</f>
        <v>13270.914720000001</v>
      </c>
      <c r="L4" s="62">
        <f>DADOS!O13</f>
        <v>14789.94821</v>
      </c>
    </row>
    <row r="5" spans="1:12" x14ac:dyDescent="0.25">
      <c r="A5" s="4" t="str">
        <f>DADOS!B14</f>
        <v>Quantidades de extravasamentos de esgotos registrados</v>
      </c>
      <c r="B5" s="4" t="str">
        <f>DADOS!E14</f>
        <v>QD011</v>
      </c>
      <c r="C5" s="62">
        <f>DADOS!F14</f>
        <v>9196</v>
      </c>
      <c r="D5" s="62">
        <f>DADOS!G14</f>
        <v>8498</v>
      </c>
      <c r="E5" s="62">
        <f>DADOS!H14</f>
        <v>10702</v>
      </c>
      <c r="F5" s="62">
        <f>DADOS!I14</f>
        <v>21018</v>
      </c>
      <c r="G5" s="62">
        <f>DADOS!J14</f>
        <v>24344</v>
      </c>
      <c r="H5" s="62">
        <f>DADOS!K14</f>
        <v>28264</v>
      </c>
      <c r="I5" s="62">
        <f>DADOS!L14</f>
        <v>31305</v>
      </c>
      <c r="J5" s="62">
        <f>DADOS!M14</f>
        <v>31434</v>
      </c>
      <c r="K5" s="62">
        <f>DADOS!N14</f>
        <v>31371</v>
      </c>
      <c r="L5" s="62">
        <f>DADOS!O14</f>
        <v>30392</v>
      </c>
    </row>
    <row r="6" spans="1:12" x14ac:dyDescent="0.25">
      <c r="A6" s="61" t="str">
        <f>DADOS!B15</f>
        <v>Extravasamentos de esgotos por extensão de rede</v>
      </c>
      <c r="B6" s="61" t="str">
        <f>DADOS!E15</f>
        <v>IN082</v>
      </c>
      <c r="C6" s="71">
        <f>C5/C4</f>
        <v>0.99940661590660618</v>
      </c>
      <c r="D6" s="71">
        <f t="shared" ref="D6:L6" si="0">D5/D4</f>
        <v>0.90208579474947437</v>
      </c>
      <c r="E6" s="71">
        <f t="shared" si="0"/>
        <v>1.1024794971984739</v>
      </c>
      <c r="F6" s="71">
        <f t="shared" si="0"/>
        <v>2.1243413864516376</v>
      </c>
      <c r="G6" s="71">
        <f t="shared" si="0"/>
        <v>2.4100250070784082</v>
      </c>
      <c r="H6" s="71">
        <f t="shared" si="0"/>
        <v>2.5467280352915518</v>
      </c>
      <c r="I6" s="71">
        <f t="shared" si="0"/>
        <v>2.4424195380811438</v>
      </c>
      <c r="J6" s="71">
        <f t="shared" si="0"/>
        <v>2.3880297544860865</v>
      </c>
      <c r="K6" s="71">
        <f t="shared" si="0"/>
        <v>2.3638913113292914</v>
      </c>
      <c r="L6" s="71">
        <f t="shared" si="0"/>
        <v>2.0549091564398383</v>
      </c>
    </row>
    <row r="7" spans="1:12" x14ac:dyDescent="0.25">
      <c r="A7" s="4" t="s">
        <v>83</v>
      </c>
      <c r="B7" s="4"/>
      <c r="C7" s="12"/>
      <c r="D7" s="17">
        <f>(D6/C6)-1</f>
        <v>-9.737860407182497E-2</v>
      </c>
      <c r="E7" s="17">
        <f t="shared" ref="E7:L7" si="1">(E6/D6)-1</f>
        <v>0.2221448376810462</v>
      </c>
      <c r="F7" s="17">
        <f t="shared" si="1"/>
        <v>0.92687609325146747</v>
      </c>
      <c r="G7" s="17">
        <f t="shared" si="1"/>
        <v>0.13448103136754219</v>
      </c>
      <c r="H7" s="17">
        <f t="shared" si="1"/>
        <v>5.6722659645288998E-2</v>
      </c>
      <c r="I7" s="17">
        <f t="shared" si="1"/>
        <v>-4.0957846996201419E-2</v>
      </c>
      <c r="J7" s="17">
        <f t="shared" si="1"/>
        <v>-2.2268812850141151E-2</v>
      </c>
      <c r="K7" s="17">
        <f t="shared" si="1"/>
        <v>-1.0108099830602679E-2</v>
      </c>
      <c r="L7" s="17">
        <f t="shared" si="1"/>
        <v>-0.13070912076566776</v>
      </c>
    </row>
    <row r="8" spans="1:12" x14ac:dyDescent="0.25">
      <c r="A8"/>
      <c r="B8"/>
      <c r="C8" s="80">
        <f>AVERAGE(C6:L6)</f>
        <v>1.9334316097012512</v>
      </c>
      <c r="D8" s="80">
        <f>C8</f>
        <v>1.9334316097012512</v>
      </c>
      <c r="E8" s="80">
        <f t="shared" ref="E8:L9" si="2">D8</f>
        <v>1.9334316097012512</v>
      </c>
      <c r="F8" s="80">
        <f t="shared" si="2"/>
        <v>1.9334316097012512</v>
      </c>
      <c r="G8" s="80">
        <f t="shared" si="2"/>
        <v>1.9334316097012512</v>
      </c>
      <c r="H8" s="80">
        <f t="shared" si="2"/>
        <v>1.9334316097012512</v>
      </c>
      <c r="I8" s="80">
        <f t="shared" si="2"/>
        <v>1.9334316097012512</v>
      </c>
      <c r="J8" s="80">
        <f t="shared" si="2"/>
        <v>1.9334316097012512</v>
      </c>
      <c r="K8" s="80">
        <f t="shared" si="2"/>
        <v>1.9334316097012512</v>
      </c>
      <c r="L8" s="80">
        <f t="shared" si="2"/>
        <v>1.9334316097012512</v>
      </c>
    </row>
    <row r="9" spans="1:12" x14ac:dyDescent="0.25">
      <c r="A9"/>
      <c r="B9"/>
      <c r="C9" s="80">
        <f>MEDIAN(C6:L6)</f>
        <v>2.2441163488904645</v>
      </c>
      <c r="D9" s="80">
        <f>C9</f>
        <v>2.2441163488904645</v>
      </c>
      <c r="E9" s="80">
        <f t="shared" si="2"/>
        <v>2.2441163488904645</v>
      </c>
      <c r="F9" s="80">
        <f t="shared" si="2"/>
        <v>2.2441163488904645</v>
      </c>
      <c r="G9" s="80">
        <f t="shared" si="2"/>
        <v>2.2441163488904645</v>
      </c>
      <c r="H9" s="80">
        <f t="shared" si="2"/>
        <v>2.2441163488904645</v>
      </c>
      <c r="I9" s="80">
        <f t="shared" si="2"/>
        <v>2.2441163488904645</v>
      </c>
      <c r="J9" s="80"/>
      <c r="K9" s="80">
        <f t="shared" si="2"/>
        <v>0</v>
      </c>
      <c r="L9" s="80">
        <f t="shared" si="2"/>
        <v>0</v>
      </c>
    </row>
    <row r="10" spans="1:12" x14ac:dyDescent="0.25">
      <c r="A10"/>
      <c r="B10"/>
      <c r="C10"/>
      <c r="D10" s="104" t="s">
        <v>23</v>
      </c>
      <c r="E10" s="105"/>
      <c r="F10" s="106"/>
      <c r="G10" s="67">
        <f>AVERAGE(D7:L7)</f>
        <v>0.11542245971454518</v>
      </c>
      <c r="J10" s="84"/>
    </row>
    <row r="11" spans="1:12" x14ac:dyDescent="0.25">
      <c r="A11"/>
      <c r="B11"/>
      <c r="C11"/>
      <c r="D11" s="104" t="s">
        <v>24</v>
      </c>
      <c r="E11" s="105"/>
      <c r="F11" s="106"/>
      <c r="G11" s="67">
        <f>MEDIAN(D7:L7)</f>
        <v>-1.0108099830602679E-2</v>
      </c>
      <c r="J11" s="84"/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13" t="s">
        <v>25</v>
      </c>
      <c r="D13" s="113"/>
      <c r="E13" s="113"/>
      <c r="F13" s="113"/>
      <c r="G13" s="79">
        <f>L6+(L6*G11)</f>
        <v>2.034137929543725</v>
      </c>
      <c r="H13" s="85" t="str">
        <f>IF(G13=L6+(L6*G11),"mediana","média")</f>
        <v>mediana</v>
      </c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30</v>
      </c>
      <c r="F15" s="111"/>
      <c r="G15" s="111"/>
    </row>
    <row r="16" spans="1:12" x14ac:dyDescent="0.25">
      <c r="A16"/>
      <c r="B16"/>
      <c r="C16"/>
      <c r="D16"/>
      <c r="E16"/>
    </row>
    <row r="17" spans="1:6" x14ac:dyDescent="0.25">
      <c r="A17"/>
      <c r="B17"/>
      <c r="C17"/>
      <c r="D17"/>
      <c r="E17" s="59" t="s">
        <v>32</v>
      </c>
      <c r="F17" s="58">
        <f>AVERAGE(C6:L6)</f>
        <v>1.9334316097012512</v>
      </c>
    </row>
    <row r="18" spans="1:6" x14ac:dyDescent="0.25">
      <c r="A18"/>
      <c r="B18"/>
      <c r="C18"/>
      <c r="D18"/>
      <c r="E18" s="59" t="s">
        <v>33</v>
      </c>
      <c r="F18" s="58">
        <f>_xlfn.STDEV.S(C6:L6)</f>
        <v>0.66098068057279535</v>
      </c>
    </row>
    <row r="19" spans="1:6" x14ac:dyDescent="0.25">
      <c r="A19"/>
      <c r="B19"/>
      <c r="C19"/>
      <c r="D19"/>
      <c r="E19" s="59" t="s">
        <v>34</v>
      </c>
      <c r="F19" s="58">
        <f>F17+F18</f>
        <v>2.5944122902740467</v>
      </c>
    </row>
    <row r="20" spans="1:6" x14ac:dyDescent="0.25">
      <c r="A20"/>
      <c r="B20"/>
      <c r="C20"/>
      <c r="D20"/>
      <c r="E20" s="59" t="s">
        <v>35</v>
      </c>
      <c r="F20" s="58">
        <f>F17-F18</f>
        <v>1.2724509291284558</v>
      </c>
    </row>
    <row r="21" spans="1:6" x14ac:dyDescent="0.25">
      <c r="A21"/>
      <c r="B21"/>
      <c r="C21"/>
      <c r="D21"/>
      <c r="E21"/>
    </row>
    <row r="22" spans="1:6" x14ac:dyDescent="0.25">
      <c r="A22"/>
      <c r="B22"/>
      <c r="C22"/>
      <c r="D22"/>
      <c r="E22"/>
    </row>
    <row r="23" spans="1:6" x14ac:dyDescent="0.25">
      <c r="A23"/>
      <c r="B23"/>
      <c r="C23"/>
      <c r="D23"/>
      <c r="E23"/>
    </row>
    <row r="24" spans="1:6" x14ac:dyDescent="0.25">
      <c r="A24"/>
      <c r="B24"/>
      <c r="C24"/>
      <c r="D24"/>
      <c r="E24"/>
    </row>
    <row r="25" spans="1:6" x14ac:dyDescent="0.25">
      <c r="A25"/>
      <c r="B25"/>
      <c r="C25"/>
      <c r="D25"/>
      <c r="E25"/>
    </row>
    <row r="26" spans="1:6" x14ac:dyDescent="0.25">
      <c r="A26"/>
      <c r="B26"/>
      <c r="C26"/>
      <c r="D26"/>
      <c r="E26"/>
    </row>
    <row r="27" spans="1:6" x14ac:dyDescent="0.25">
      <c r="A27"/>
      <c r="B27"/>
      <c r="C27"/>
      <c r="D27"/>
      <c r="E27"/>
    </row>
    <row r="28" spans="1:6" x14ac:dyDescent="0.25">
      <c r="A28"/>
      <c r="B28"/>
      <c r="C28"/>
      <c r="D28"/>
      <c r="E28"/>
    </row>
  </sheetData>
  <mergeCells count="6">
    <mergeCell ref="B1:F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O29"/>
  <sheetViews>
    <sheetView topLeftCell="H4" workbookViewId="0">
      <selection activeCell="N20" sqref="I10:O21"/>
    </sheetView>
  </sheetViews>
  <sheetFormatPr defaultRowHeight="15" x14ac:dyDescent="0.25"/>
  <cols>
    <col min="1" max="1" width="47" style="20" bestFit="1" customWidth="1"/>
    <col min="2" max="2" width="10.28515625" style="20" customWidth="1"/>
    <col min="3" max="5" width="10.7109375" style="20" customWidth="1"/>
    <col min="6" max="8" width="10.7109375" customWidth="1"/>
    <col min="9" max="9" width="12.7109375" bestFit="1" customWidth="1"/>
    <col min="10" max="12" width="9.140625" bestFit="1" customWidth="1"/>
    <col min="13" max="13" width="11.85546875" customWidth="1"/>
    <col min="14" max="14" width="15.140625" bestFit="1" customWidth="1"/>
  </cols>
  <sheetData>
    <row r="1" spans="1:15" ht="15.75" customHeight="1" x14ac:dyDescent="0.25">
      <c r="A1" s="23" t="s">
        <v>5</v>
      </c>
      <c r="B1" s="112" t="str">
        <f>A6</f>
        <v>Indicador de Desempenho do SIPSAP</v>
      </c>
      <c r="C1" s="112"/>
      <c r="D1" s="112"/>
      <c r="E1" s="112"/>
      <c r="F1" s="22"/>
    </row>
    <row r="2" spans="1:15" x14ac:dyDescent="0.25">
      <c r="A2"/>
      <c r="B2"/>
      <c r="C2"/>
      <c r="D2"/>
      <c r="E2"/>
    </row>
    <row r="3" spans="1:15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5" x14ac:dyDescent="0.25">
      <c r="A4" s="4" t="str">
        <f>DADOS!B25</f>
        <v>Número de serviços solicitados atendidos no prazo</v>
      </c>
      <c r="B4" s="4" t="str">
        <f>DADOS!E25</f>
        <v>-</v>
      </c>
      <c r="C4" s="62">
        <f>DADOS!F25</f>
        <v>930606</v>
      </c>
      <c r="D4" s="62">
        <f>DADOS!G25</f>
        <v>890545</v>
      </c>
      <c r="E4" s="62">
        <f>DADOS!H25</f>
        <v>884477</v>
      </c>
      <c r="F4" s="62">
        <f>DADOS!I25</f>
        <v>921096</v>
      </c>
      <c r="G4" s="62">
        <f>DADOS!J25</f>
        <v>1259053</v>
      </c>
      <c r="H4" s="62">
        <f>DADOS!K25</f>
        <v>1548515</v>
      </c>
      <c r="I4" s="62">
        <f>DADOS!L25</f>
        <v>1767923</v>
      </c>
      <c r="J4" s="62">
        <f>DADOS!M25</f>
        <v>1830980</v>
      </c>
      <c r="K4" s="62">
        <f>DADOS!N25</f>
        <v>1521119</v>
      </c>
      <c r="L4" s="62">
        <f>DADOS!O25</f>
        <v>1587538</v>
      </c>
    </row>
    <row r="5" spans="1:15" x14ac:dyDescent="0.25">
      <c r="A5" s="4" t="str">
        <f>DADOS!B26</f>
        <v>Número total de serviços solicitados</v>
      </c>
      <c r="B5" s="4" t="str">
        <f>DADOS!E26</f>
        <v>-</v>
      </c>
      <c r="C5" s="62">
        <f>DADOS!F26</f>
        <v>1033240</v>
      </c>
      <c r="D5" s="62">
        <f>DADOS!G26</f>
        <v>1016833</v>
      </c>
      <c r="E5" s="62">
        <f>DADOS!H26</f>
        <v>1044550</v>
      </c>
      <c r="F5" s="62">
        <f>DADOS!I26</f>
        <v>1082377</v>
      </c>
      <c r="G5" s="62">
        <f>DADOS!J26</f>
        <v>1422280</v>
      </c>
      <c r="H5" s="62">
        <f>DADOS!K26</f>
        <v>1755550</v>
      </c>
      <c r="I5" s="62">
        <f>DADOS!L26</f>
        <v>2003246</v>
      </c>
      <c r="J5" s="62">
        <f>DADOS!M26</f>
        <v>2105868</v>
      </c>
      <c r="K5" s="62">
        <f>DADOS!N26</f>
        <v>1863996</v>
      </c>
      <c r="L5" s="62">
        <f>DADOS!O26</f>
        <v>1910064</v>
      </c>
    </row>
    <row r="6" spans="1:15" x14ac:dyDescent="0.25">
      <c r="A6" s="61" t="str">
        <f>DADOS!B27</f>
        <v>Indicador de Desempenho do SIPSAP</v>
      </c>
      <c r="B6" s="61" t="str">
        <f>DADOS!E27</f>
        <v>IDS</v>
      </c>
      <c r="C6" s="78">
        <f>C4/C5</f>
        <v>0.90066780225310672</v>
      </c>
      <c r="D6" s="60">
        <f t="shared" ref="D6:L6" si="0">D4/D5</f>
        <v>0.87580261458862962</v>
      </c>
      <c r="E6" s="60">
        <f t="shared" si="0"/>
        <v>0.84675410463836098</v>
      </c>
      <c r="F6" s="60">
        <f t="shared" si="0"/>
        <v>0.850993692585855</v>
      </c>
      <c r="G6" s="60">
        <f t="shared" si="0"/>
        <v>0.88523567792558422</v>
      </c>
      <c r="H6" s="60">
        <f t="shared" si="0"/>
        <v>0.88206829768448636</v>
      </c>
      <c r="I6" s="60">
        <f t="shared" si="0"/>
        <v>0.88252915518114106</v>
      </c>
      <c r="J6" s="60">
        <f t="shared" si="0"/>
        <v>0.86946570250367072</v>
      </c>
      <c r="K6" s="78">
        <f t="shared" si="0"/>
        <v>0.81605271685132375</v>
      </c>
      <c r="L6" s="78">
        <f t="shared" si="0"/>
        <v>0.83114387790147348</v>
      </c>
    </row>
    <row r="7" spans="1:15" x14ac:dyDescent="0.25">
      <c r="A7" s="4" t="s">
        <v>83</v>
      </c>
      <c r="B7" s="4"/>
      <c r="C7" s="12"/>
      <c r="D7" s="81">
        <f>(D6/C6)-1</f>
        <v>-2.7607501458667083E-2</v>
      </c>
      <c r="E7" s="82">
        <f t="shared" ref="E7:L7" si="1">(E6/D6)-1</f>
        <v>-3.3167873064540832E-2</v>
      </c>
      <c r="F7" s="82">
        <f t="shared" si="1"/>
        <v>5.0068702640710949E-3</v>
      </c>
      <c r="G7" s="82">
        <f t="shared" si="1"/>
        <v>4.0237648807572857E-2</v>
      </c>
      <c r="H7" s="82">
        <f t="shared" si="1"/>
        <v>-3.578007891096413E-3</v>
      </c>
      <c r="I7" s="82">
        <f t="shared" si="1"/>
        <v>5.2247371078228966E-4</v>
      </c>
      <c r="J7" s="82">
        <f t="shared" si="1"/>
        <v>-1.4802290214184555E-2</v>
      </c>
      <c r="K7" s="81">
        <f t="shared" si="1"/>
        <v>-6.1431963904431841E-2</v>
      </c>
      <c r="L7" s="81">
        <f t="shared" si="1"/>
        <v>1.8492875200976977E-2</v>
      </c>
    </row>
    <row r="8" spans="1:15" x14ac:dyDescent="0.25">
      <c r="A8"/>
      <c r="B8"/>
      <c r="C8" s="80">
        <f>AVERAGE(C6:L6)</f>
        <v>0.8640713642113631</v>
      </c>
      <c r="D8" s="80">
        <f>C8</f>
        <v>0.8640713642113631</v>
      </c>
      <c r="E8" s="80">
        <f t="shared" ref="E8:L9" si="2">D8</f>
        <v>0.8640713642113631</v>
      </c>
      <c r="F8" s="80">
        <f t="shared" si="2"/>
        <v>0.8640713642113631</v>
      </c>
      <c r="G8" s="80">
        <f t="shared" si="2"/>
        <v>0.8640713642113631</v>
      </c>
      <c r="H8" s="80">
        <f t="shared" si="2"/>
        <v>0.8640713642113631</v>
      </c>
      <c r="I8" s="80">
        <f t="shared" si="2"/>
        <v>0.8640713642113631</v>
      </c>
      <c r="J8" s="80">
        <f t="shared" si="2"/>
        <v>0.8640713642113631</v>
      </c>
      <c r="K8" s="80">
        <f t="shared" si="2"/>
        <v>0.8640713642113631</v>
      </c>
      <c r="L8" s="80">
        <f t="shared" si="2"/>
        <v>0.8640713642113631</v>
      </c>
    </row>
    <row r="9" spans="1:15" x14ac:dyDescent="0.25">
      <c r="A9"/>
      <c r="B9"/>
      <c r="C9" s="80">
        <f>MEDIAN(C6:L6)</f>
        <v>0.87263415854615012</v>
      </c>
      <c r="D9" s="80">
        <f>C9</f>
        <v>0.87263415854615012</v>
      </c>
      <c r="E9" s="80">
        <f t="shared" si="2"/>
        <v>0.87263415854615012</v>
      </c>
      <c r="F9" s="80">
        <f t="shared" si="2"/>
        <v>0.87263415854615012</v>
      </c>
      <c r="G9" s="80">
        <f t="shared" si="2"/>
        <v>0.87263415854615012</v>
      </c>
      <c r="H9" s="80">
        <f t="shared" si="2"/>
        <v>0.87263415854615012</v>
      </c>
      <c r="I9" s="80">
        <f t="shared" si="2"/>
        <v>0.87263415854615012</v>
      </c>
      <c r="J9" s="80">
        <f t="shared" si="2"/>
        <v>0.87263415854615012</v>
      </c>
      <c r="K9" s="80">
        <f t="shared" si="2"/>
        <v>0.87263415854615012</v>
      </c>
      <c r="L9" s="80">
        <f t="shared" si="2"/>
        <v>0.87263415854615012</v>
      </c>
    </row>
    <row r="10" spans="1:15" x14ac:dyDescent="0.25">
      <c r="A10"/>
      <c r="B10"/>
      <c r="C10"/>
      <c r="D10" s="104" t="s">
        <v>23</v>
      </c>
      <c r="E10" s="105"/>
      <c r="F10" s="106"/>
      <c r="G10" s="83">
        <f>AVERAGE(E7:J7)</f>
        <v>-9.63529731232593E-4</v>
      </c>
      <c r="I10" s="114" t="s">
        <v>88</v>
      </c>
      <c r="J10" s="114"/>
      <c r="K10" s="114"/>
      <c r="L10" s="114"/>
      <c r="M10" s="114"/>
      <c r="N10" s="95" t="s">
        <v>32</v>
      </c>
      <c r="O10" s="99">
        <f>AVERAGE(I12:I21)</f>
        <v>0.8640713642113631</v>
      </c>
    </row>
    <row r="11" spans="1:15" x14ac:dyDescent="0.25">
      <c r="A11"/>
      <c r="B11"/>
      <c r="C11"/>
      <c r="D11" s="104" t="s">
        <v>24</v>
      </c>
      <c r="E11" s="105"/>
      <c r="F11" s="106"/>
      <c r="G11" s="83">
        <f>MEDIAN(D7:L7)</f>
        <v>-3.578007891096413E-3</v>
      </c>
      <c r="I11" s="95" t="s">
        <v>89</v>
      </c>
      <c r="J11" s="96" t="s">
        <v>90</v>
      </c>
      <c r="K11" s="95" t="s">
        <v>32</v>
      </c>
      <c r="L11" s="95" t="s">
        <v>91</v>
      </c>
      <c r="M11" s="95" t="s">
        <v>92</v>
      </c>
      <c r="N11" s="12" t="s">
        <v>93</v>
      </c>
      <c r="O11" s="100">
        <f>_xlfn.STDEV.S(I12:I21)</f>
        <v>2.6831679159204279E-2</v>
      </c>
    </row>
    <row r="12" spans="1:15" x14ac:dyDescent="0.25">
      <c r="A12"/>
      <c r="B12"/>
      <c r="C12" s="14" t="s">
        <v>22</v>
      </c>
      <c r="D12" s="14"/>
      <c r="E12" s="14"/>
      <c r="I12" s="97">
        <v>0.90066780225310672</v>
      </c>
      <c r="J12" s="95">
        <v>1</v>
      </c>
      <c r="K12" s="99">
        <f t="shared" ref="K12:K21" si="3">$O$10</f>
        <v>0.8640713642113631</v>
      </c>
      <c r="L12" s="96">
        <f t="shared" ref="L12:L21" si="4">$O$18</f>
        <v>0.80472777493210579</v>
      </c>
      <c r="M12" s="96">
        <f t="shared" ref="M12:M21" si="5">$O$19</f>
        <v>0.92341495349062042</v>
      </c>
      <c r="N12" s="12" t="s">
        <v>94</v>
      </c>
      <c r="O12" s="99">
        <f>MIN(I12:I21)</f>
        <v>0.81605271685132375</v>
      </c>
    </row>
    <row r="13" spans="1:15" x14ac:dyDescent="0.25">
      <c r="A13"/>
      <c r="B13"/>
      <c r="C13" s="113" t="s">
        <v>25</v>
      </c>
      <c r="D13" s="113"/>
      <c r="E13" s="113"/>
      <c r="F13" s="113"/>
      <c r="G13" s="57">
        <f>L6+(L6*G11)</f>
        <v>0.82817003854770554</v>
      </c>
      <c r="H13" s="85" t="str">
        <f>IF(G13=L6+(L6*G11),"mediana","média")</f>
        <v>mediana</v>
      </c>
      <c r="I13" s="97">
        <v>0.87580261458862962</v>
      </c>
      <c r="J13" s="95">
        <v>1</v>
      </c>
      <c r="K13" s="99">
        <f t="shared" si="3"/>
        <v>0.8640713642113631</v>
      </c>
      <c r="L13" s="96">
        <f t="shared" si="4"/>
        <v>0.80472777493210579</v>
      </c>
      <c r="M13" s="96">
        <f t="shared" si="5"/>
        <v>0.92341495349062042</v>
      </c>
      <c r="N13" s="12" t="s">
        <v>95</v>
      </c>
      <c r="O13" s="100">
        <f>_xlfn.QUARTILE.EXC(I12:I21,1)</f>
        <v>0.84285154795413908</v>
      </c>
    </row>
    <row r="14" spans="1:15" x14ac:dyDescent="0.25">
      <c r="A14"/>
      <c r="B14"/>
      <c r="C14"/>
      <c r="D14"/>
      <c r="E14"/>
      <c r="I14" s="97">
        <v>0.84675410463836098</v>
      </c>
      <c r="J14" s="95">
        <v>1</v>
      </c>
      <c r="K14" s="99">
        <f t="shared" si="3"/>
        <v>0.8640713642113631</v>
      </c>
      <c r="L14" s="96">
        <f t="shared" si="4"/>
        <v>0.80472777493210579</v>
      </c>
      <c r="M14" s="96">
        <f t="shared" si="5"/>
        <v>0.92341495349062042</v>
      </c>
      <c r="N14" s="12" t="s">
        <v>96</v>
      </c>
      <c r="O14" s="99">
        <f>MEDIAN(I12:I21)</f>
        <v>0.87263415854615012</v>
      </c>
    </row>
    <row r="15" spans="1:15" x14ac:dyDescent="0.25">
      <c r="A15"/>
      <c r="B15"/>
      <c r="C15" s="110" t="s">
        <v>28</v>
      </c>
      <c r="D15" s="110"/>
      <c r="E15" s="111" t="s">
        <v>29</v>
      </c>
      <c r="F15" s="111"/>
      <c r="G15" s="111"/>
      <c r="I15" s="97">
        <v>0.850993692585855</v>
      </c>
      <c r="J15" s="95">
        <v>1</v>
      </c>
      <c r="K15" s="99">
        <f t="shared" si="3"/>
        <v>0.8640713642113631</v>
      </c>
      <c r="L15" s="96">
        <f t="shared" si="4"/>
        <v>0.80472777493210579</v>
      </c>
      <c r="M15" s="96">
        <f t="shared" si="5"/>
        <v>0.92341495349062042</v>
      </c>
      <c r="N15" s="12" t="s">
        <v>97</v>
      </c>
      <c r="O15" s="100">
        <f>QUARTILE(I12:I21,3)</f>
        <v>0.88241394080697733</v>
      </c>
    </row>
    <row r="16" spans="1:15" x14ac:dyDescent="0.25">
      <c r="A16"/>
      <c r="B16"/>
      <c r="C16"/>
      <c r="D16"/>
      <c r="E16"/>
      <c r="I16" s="97">
        <v>0.88523567792558422</v>
      </c>
      <c r="J16" s="95">
        <v>1</v>
      </c>
      <c r="K16" s="99">
        <f t="shared" si="3"/>
        <v>0.8640713642113631</v>
      </c>
      <c r="L16" s="96">
        <f t="shared" si="4"/>
        <v>0.80472777493210579</v>
      </c>
      <c r="M16" s="96">
        <f t="shared" si="5"/>
        <v>0.92341495349062042</v>
      </c>
      <c r="N16" s="12" t="s">
        <v>98</v>
      </c>
      <c r="O16" s="99">
        <f>MAX(I12:I21)</f>
        <v>0.90066780225310672</v>
      </c>
    </row>
    <row r="17" spans="1:15" x14ac:dyDescent="0.25">
      <c r="A17"/>
      <c r="B17"/>
      <c r="C17"/>
      <c r="D17"/>
      <c r="E17" s="59" t="s">
        <v>32</v>
      </c>
      <c r="F17" s="58">
        <f>AVERAGE(C6:L6)</f>
        <v>0.8640713642113631</v>
      </c>
      <c r="H17" s="59"/>
      <c r="I17" s="98">
        <v>0.88206829768448636</v>
      </c>
      <c r="J17" s="95">
        <v>1</v>
      </c>
      <c r="K17" s="99">
        <f t="shared" si="3"/>
        <v>0.8640713642113631</v>
      </c>
      <c r="L17" s="96">
        <f t="shared" si="4"/>
        <v>0.80472777493210579</v>
      </c>
      <c r="M17" s="96">
        <f t="shared" si="5"/>
        <v>0.92341495349062042</v>
      </c>
      <c r="N17" s="12" t="s">
        <v>99</v>
      </c>
      <c r="O17" s="99">
        <f>O15-O13</f>
        <v>3.9562392852838246E-2</v>
      </c>
    </row>
    <row r="18" spans="1:15" x14ac:dyDescent="0.25">
      <c r="A18"/>
      <c r="B18"/>
      <c r="C18"/>
      <c r="D18"/>
      <c r="E18" s="59" t="s">
        <v>33</v>
      </c>
      <c r="F18" s="58">
        <f>_xlfn.STDEV.S(C6:L6)</f>
        <v>2.6831679159204279E-2</v>
      </c>
      <c r="H18" s="59"/>
      <c r="I18" s="98">
        <v>0.88252915518114106</v>
      </c>
      <c r="J18" s="95">
        <v>1</v>
      </c>
      <c r="K18" s="99">
        <f t="shared" si="3"/>
        <v>0.8640713642113631</v>
      </c>
      <c r="L18" s="96">
        <f t="shared" si="4"/>
        <v>0.80472777493210579</v>
      </c>
      <c r="M18" s="96">
        <f t="shared" si="5"/>
        <v>0.92341495349062042</v>
      </c>
      <c r="N18" s="12" t="s">
        <v>100</v>
      </c>
      <c r="O18" s="99">
        <f>O10-1.5*O17</f>
        <v>0.80472777493210579</v>
      </c>
    </row>
    <row r="19" spans="1:15" x14ac:dyDescent="0.25">
      <c r="A19"/>
      <c r="B19"/>
      <c r="C19"/>
      <c r="D19"/>
      <c r="E19" s="59" t="s">
        <v>34</v>
      </c>
      <c r="F19" s="58">
        <f>F17+F18</f>
        <v>0.89090304337056736</v>
      </c>
      <c r="H19" s="59"/>
      <c r="I19" s="98">
        <v>0.86946570250367072</v>
      </c>
      <c r="J19" s="95">
        <v>1</v>
      </c>
      <c r="K19" s="99">
        <f t="shared" si="3"/>
        <v>0.8640713642113631</v>
      </c>
      <c r="L19" s="96">
        <f t="shared" si="4"/>
        <v>0.80472777493210579</v>
      </c>
      <c r="M19" s="96">
        <f t="shared" si="5"/>
        <v>0.92341495349062042</v>
      </c>
      <c r="N19" s="101" t="s">
        <v>101</v>
      </c>
      <c r="O19" s="102">
        <f>O10+1.5*O17</f>
        <v>0.92341495349062042</v>
      </c>
    </row>
    <row r="20" spans="1:15" x14ac:dyDescent="0.25">
      <c r="A20"/>
      <c r="B20"/>
      <c r="C20"/>
      <c r="D20"/>
      <c r="E20" s="59" t="s">
        <v>35</v>
      </c>
      <c r="F20" s="58">
        <f>F17-F18</f>
        <v>0.83723968505215884</v>
      </c>
      <c r="H20" s="59"/>
      <c r="I20" s="98">
        <v>0.81605271685132375</v>
      </c>
      <c r="J20" s="95">
        <v>1</v>
      </c>
      <c r="K20" s="99">
        <f t="shared" si="3"/>
        <v>0.8640713642113631</v>
      </c>
      <c r="L20" s="96">
        <f t="shared" si="4"/>
        <v>0.80472777493210579</v>
      </c>
      <c r="M20" s="96">
        <f t="shared" si="5"/>
        <v>0.92341495349062042</v>
      </c>
      <c r="N20" s="115"/>
      <c r="O20" s="116"/>
    </row>
    <row r="21" spans="1:15" x14ac:dyDescent="0.25">
      <c r="A21"/>
      <c r="B21"/>
      <c r="C21"/>
      <c r="D21"/>
      <c r="E21"/>
      <c r="I21" s="98">
        <v>0.83114387790147348</v>
      </c>
      <c r="J21" s="95">
        <v>1</v>
      </c>
      <c r="K21" s="99">
        <f t="shared" si="3"/>
        <v>0.8640713642113631</v>
      </c>
      <c r="L21" s="96">
        <f t="shared" si="4"/>
        <v>0.80472777493210579</v>
      </c>
      <c r="M21" s="96">
        <f t="shared" si="5"/>
        <v>0.92341495349062042</v>
      </c>
      <c r="N21" s="117"/>
      <c r="O21" s="118"/>
    </row>
    <row r="22" spans="1:15" x14ac:dyDescent="0.25">
      <c r="A22"/>
      <c r="B22"/>
      <c r="C22"/>
      <c r="D22"/>
      <c r="E22"/>
      <c r="I22" s="75"/>
      <c r="J22" s="75"/>
      <c r="K22" s="75"/>
      <c r="L22" s="75"/>
      <c r="M22" s="75"/>
    </row>
    <row r="23" spans="1:15" x14ac:dyDescent="0.25">
      <c r="A23"/>
      <c r="B23"/>
      <c r="C23"/>
      <c r="D23"/>
      <c r="E23"/>
    </row>
    <row r="24" spans="1:15" x14ac:dyDescent="0.25">
      <c r="A24"/>
      <c r="B24"/>
      <c r="C24"/>
      <c r="D24"/>
      <c r="E24"/>
    </row>
    <row r="25" spans="1:15" x14ac:dyDescent="0.25">
      <c r="A25"/>
      <c r="B25"/>
      <c r="C25"/>
      <c r="D25"/>
      <c r="E25"/>
    </row>
    <row r="26" spans="1:15" x14ac:dyDescent="0.25">
      <c r="A26"/>
      <c r="B26"/>
      <c r="C26"/>
      <c r="D26"/>
      <c r="E26"/>
    </row>
    <row r="27" spans="1:15" x14ac:dyDescent="0.25">
      <c r="A27"/>
      <c r="B27"/>
      <c r="C27"/>
      <c r="D27"/>
      <c r="E27"/>
    </row>
    <row r="28" spans="1:15" x14ac:dyDescent="0.25">
      <c r="A28"/>
      <c r="B28"/>
      <c r="C28"/>
      <c r="D28"/>
      <c r="E28"/>
    </row>
    <row r="29" spans="1:15" x14ac:dyDescent="0.25">
      <c r="A29"/>
      <c r="B29"/>
      <c r="C29"/>
      <c r="D29"/>
      <c r="E29"/>
    </row>
  </sheetData>
  <mergeCells count="8">
    <mergeCell ref="I10:M10"/>
    <mergeCell ref="N20:O21"/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00000"/>
  </sheetPr>
  <dimension ref="A1:L28"/>
  <sheetViews>
    <sheetView workbookViewId="0">
      <selection activeCell="B2" sqref="B2"/>
    </sheetView>
  </sheetViews>
  <sheetFormatPr defaultRowHeight="15" x14ac:dyDescent="0.25"/>
  <cols>
    <col min="1" max="1" width="47" style="20" bestFit="1" customWidth="1"/>
    <col min="2" max="2" width="10.28515625" style="20" customWidth="1"/>
    <col min="3" max="5" width="10.7109375" style="20" customWidth="1"/>
    <col min="6" max="12" width="10.7109375" customWidth="1"/>
  </cols>
  <sheetData>
    <row r="1" spans="1:12" ht="15.75" customHeight="1" x14ac:dyDescent="0.25">
      <c r="A1" s="23" t="s">
        <v>5</v>
      </c>
      <c r="B1" s="112" t="str">
        <f>A6</f>
        <v>Indicador de Desempenho do SIPSAP</v>
      </c>
      <c r="C1" s="112"/>
      <c r="D1" s="112"/>
      <c r="E1" s="112"/>
      <c r="F1" s="22"/>
    </row>
    <row r="2" spans="1:12" x14ac:dyDescent="0.25">
      <c r="A2"/>
      <c r="B2"/>
      <c r="C2"/>
      <c r="D2"/>
      <c r="E2"/>
    </row>
    <row r="3" spans="1:12" x14ac:dyDescent="0.25">
      <c r="A3" s="12"/>
      <c r="B3" s="12"/>
      <c r="C3" s="13">
        <f>DADOS!F2</f>
        <v>2012</v>
      </c>
      <c r="D3" s="13">
        <f>DADOS!G2</f>
        <v>2013</v>
      </c>
      <c r="E3" s="13">
        <f>DADOS!H2</f>
        <v>2014</v>
      </c>
      <c r="F3" s="13">
        <f>DADOS!I2</f>
        <v>2015</v>
      </c>
      <c r="G3" s="13">
        <f>DADOS!J2</f>
        <v>2016</v>
      </c>
      <c r="H3" s="13">
        <f>DADOS!K2</f>
        <v>2017</v>
      </c>
      <c r="I3" s="13">
        <f>DADOS!L2</f>
        <v>2018</v>
      </c>
      <c r="J3" s="13">
        <f>DADOS!M2</f>
        <v>2019</v>
      </c>
      <c r="K3" s="13">
        <f>DADOS!N2</f>
        <v>2020</v>
      </c>
      <c r="L3" s="13">
        <f>DADOS!O2</f>
        <v>2021</v>
      </c>
    </row>
    <row r="4" spans="1:12" x14ac:dyDescent="0.25">
      <c r="A4" s="4" t="str">
        <f>DADOS!B25</f>
        <v>Número de serviços solicitados atendidos no prazo</v>
      </c>
      <c r="B4" s="4" t="str">
        <f>DADOS!E25</f>
        <v>-</v>
      </c>
      <c r="C4" s="62">
        <f>DADOS!F25</f>
        <v>930606</v>
      </c>
      <c r="D4" s="62">
        <f>DADOS!G25</f>
        <v>890545</v>
      </c>
      <c r="E4" s="62">
        <f>DADOS!H25</f>
        <v>884477</v>
      </c>
      <c r="F4" s="62">
        <f>DADOS!I25</f>
        <v>921096</v>
      </c>
      <c r="G4" s="62">
        <f>DADOS!J25</f>
        <v>1259053</v>
      </c>
      <c r="H4" s="62">
        <f>DADOS!K25</f>
        <v>1548515</v>
      </c>
      <c r="I4" s="62">
        <f>DADOS!L25</f>
        <v>1767923</v>
      </c>
      <c r="J4" s="62">
        <f>DADOS!M25</f>
        <v>1830980</v>
      </c>
      <c r="K4" s="62">
        <f>DADOS!N25</f>
        <v>1521119</v>
      </c>
      <c r="L4" s="62">
        <f>DADOS!O25</f>
        <v>1587538</v>
      </c>
    </row>
    <row r="5" spans="1:12" x14ac:dyDescent="0.25">
      <c r="A5" s="4" t="str">
        <f>DADOS!B26</f>
        <v>Número total de serviços solicitados</v>
      </c>
      <c r="B5" s="4" t="str">
        <f>DADOS!E26</f>
        <v>-</v>
      </c>
      <c r="C5" s="62">
        <f>DADOS!F26</f>
        <v>1033240</v>
      </c>
      <c r="D5" s="62">
        <f>DADOS!G26</f>
        <v>1016833</v>
      </c>
      <c r="E5" s="62">
        <f>DADOS!H26</f>
        <v>1044550</v>
      </c>
      <c r="F5" s="62">
        <f>DADOS!I26</f>
        <v>1082377</v>
      </c>
      <c r="G5" s="62">
        <f>DADOS!J26</f>
        <v>1422280</v>
      </c>
      <c r="H5" s="62">
        <f>DADOS!K26</f>
        <v>1755550</v>
      </c>
      <c r="I5" s="62">
        <f>DADOS!L26</f>
        <v>2003246</v>
      </c>
      <c r="J5" s="62">
        <f>DADOS!M26</f>
        <v>2105868</v>
      </c>
      <c r="K5" s="62">
        <f>DADOS!N26</f>
        <v>1863996</v>
      </c>
      <c r="L5" s="62">
        <f>DADOS!O26</f>
        <v>1910064</v>
      </c>
    </row>
    <row r="6" spans="1:12" x14ac:dyDescent="0.25">
      <c r="A6" s="61" t="str">
        <f>DADOS!B27</f>
        <v>Indicador de Desempenho do SIPSAP</v>
      </c>
      <c r="B6" s="61" t="str">
        <f>DADOS!E27</f>
        <v>IDS</v>
      </c>
      <c r="C6" s="78">
        <f>C4/C5</f>
        <v>0.90066780225310672</v>
      </c>
      <c r="D6" s="60">
        <f t="shared" ref="D6:L6" si="0">D4/D5</f>
        <v>0.87580261458862962</v>
      </c>
      <c r="E6" s="60">
        <f t="shared" si="0"/>
        <v>0.84675410463836098</v>
      </c>
      <c r="F6" s="60">
        <f t="shared" si="0"/>
        <v>0.850993692585855</v>
      </c>
      <c r="G6" s="60">
        <f t="shared" si="0"/>
        <v>0.88523567792558422</v>
      </c>
      <c r="H6" s="60">
        <f t="shared" si="0"/>
        <v>0.88206829768448636</v>
      </c>
      <c r="I6" s="60">
        <f t="shared" si="0"/>
        <v>0.88252915518114106</v>
      </c>
      <c r="J6" s="60">
        <f t="shared" si="0"/>
        <v>0.86946570250367072</v>
      </c>
      <c r="K6" s="78">
        <f t="shared" si="0"/>
        <v>0.81605271685132375</v>
      </c>
      <c r="L6" s="78">
        <f t="shared" si="0"/>
        <v>0.83114387790147348</v>
      </c>
    </row>
    <row r="7" spans="1:12" x14ac:dyDescent="0.25">
      <c r="A7" s="12" t="s">
        <v>83</v>
      </c>
      <c r="B7" s="4"/>
      <c r="C7" s="12"/>
      <c r="D7" s="81">
        <f>(D6/C6)-1</f>
        <v>-2.7607501458667083E-2</v>
      </c>
      <c r="E7" s="82">
        <f t="shared" ref="E7:L7" si="1">(E6/D6)-1</f>
        <v>-3.3167873064540832E-2</v>
      </c>
      <c r="F7" s="82">
        <f t="shared" si="1"/>
        <v>5.0068702640710949E-3</v>
      </c>
      <c r="G7" s="82">
        <f t="shared" si="1"/>
        <v>4.0237648807572857E-2</v>
      </c>
      <c r="H7" s="82">
        <f t="shared" si="1"/>
        <v>-3.578007891096413E-3</v>
      </c>
      <c r="I7" s="82">
        <f t="shared" si="1"/>
        <v>5.2247371078228966E-4</v>
      </c>
      <c r="J7" s="82">
        <f t="shared" si="1"/>
        <v>-1.4802290214184555E-2</v>
      </c>
      <c r="K7" s="81">
        <f t="shared" si="1"/>
        <v>-6.1431963904431841E-2</v>
      </c>
      <c r="L7" s="81">
        <f t="shared" si="1"/>
        <v>1.8492875200976977E-2</v>
      </c>
    </row>
    <row r="8" spans="1:12" x14ac:dyDescent="0.25">
      <c r="A8"/>
      <c r="B8"/>
      <c r="C8" s="80">
        <f>AVERAGE(C6:L6)</f>
        <v>0.8640713642113631</v>
      </c>
      <c r="D8" s="80">
        <f>C8</f>
        <v>0.8640713642113631</v>
      </c>
      <c r="E8" s="80">
        <f t="shared" ref="E8:L9" si="2">D8</f>
        <v>0.8640713642113631</v>
      </c>
      <c r="F8" s="80">
        <f t="shared" si="2"/>
        <v>0.8640713642113631</v>
      </c>
      <c r="G8" s="80">
        <f t="shared" si="2"/>
        <v>0.8640713642113631</v>
      </c>
      <c r="H8" s="80">
        <f t="shared" si="2"/>
        <v>0.8640713642113631</v>
      </c>
      <c r="I8" s="80">
        <f t="shared" si="2"/>
        <v>0.8640713642113631</v>
      </c>
      <c r="J8" s="80">
        <f t="shared" si="2"/>
        <v>0.8640713642113631</v>
      </c>
      <c r="K8" s="80">
        <f t="shared" si="2"/>
        <v>0.8640713642113631</v>
      </c>
      <c r="L8" s="80">
        <f t="shared" si="2"/>
        <v>0.8640713642113631</v>
      </c>
    </row>
    <row r="9" spans="1:12" x14ac:dyDescent="0.25">
      <c r="A9"/>
      <c r="B9"/>
      <c r="C9" s="80">
        <f>MEDIAN(C6:L6)</f>
        <v>0.87263415854615012</v>
      </c>
      <c r="D9" s="80">
        <f>C9</f>
        <v>0.87263415854615012</v>
      </c>
      <c r="E9" s="80">
        <f t="shared" si="2"/>
        <v>0.87263415854615012</v>
      </c>
      <c r="F9" s="80">
        <f t="shared" si="2"/>
        <v>0.87263415854615012</v>
      </c>
      <c r="G9" s="80">
        <f t="shared" si="2"/>
        <v>0.87263415854615012</v>
      </c>
      <c r="H9" s="80">
        <f t="shared" si="2"/>
        <v>0.87263415854615012</v>
      </c>
      <c r="I9" s="80">
        <f t="shared" si="2"/>
        <v>0.87263415854615012</v>
      </c>
      <c r="J9" s="80">
        <f t="shared" si="2"/>
        <v>0.87263415854615012</v>
      </c>
      <c r="K9" s="80">
        <f t="shared" si="2"/>
        <v>0.87263415854615012</v>
      </c>
      <c r="L9" s="80">
        <f t="shared" si="2"/>
        <v>0.87263415854615012</v>
      </c>
    </row>
    <row r="10" spans="1:12" x14ac:dyDescent="0.25">
      <c r="A10"/>
      <c r="B10"/>
      <c r="C10"/>
      <c r="D10" s="104" t="s">
        <v>23</v>
      </c>
      <c r="E10" s="105"/>
      <c r="F10" s="106"/>
      <c r="G10" s="83">
        <f>AVERAGE(E7:J7)</f>
        <v>-9.63529731232593E-4</v>
      </c>
    </row>
    <row r="11" spans="1:12" x14ac:dyDescent="0.25">
      <c r="A11"/>
      <c r="B11"/>
      <c r="C11"/>
      <c r="D11" s="104" t="s">
        <v>24</v>
      </c>
      <c r="E11" s="105"/>
      <c r="F11" s="106"/>
      <c r="G11" s="83">
        <f>MEDIAN(E7:J7)</f>
        <v>-1.5277670901570617E-3</v>
      </c>
    </row>
    <row r="12" spans="1:12" x14ac:dyDescent="0.25">
      <c r="A12"/>
      <c r="B12"/>
      <c r="C12" s="14" t="s">
        <v>22</v>
      </c>
      <c r="D12" s="14"/>
      <c r="E12" s="14"/>
    </row>
    <row r="13" spans="1:12" x14ac:dyDescent="0.25">
      <c r="A13"/>
      <c r="B13"/>
      <c r="C13" s="113" t="s">
        <v>25</v>
      </c>
      <c r="D13" s="113"/>
      <c r="E13" s="113"/>
      <c r="F13" s="113"/>
      <c r="G13" s="57">
        <f>J6+(J6*G11)</f>
        <v>0.86813736141736531</v>
      </c>
      <c r="H13" s="75"/>
    </row>
    <row r="14" spans="1:12" x14ac:dyDescent="0.25">
      <c r="A14"/>
      <c r="B14"/>
      <c r="C14"/>
      <c r="D14"/>
      <c r="E14"/>
    </row>
    <row r="15" spans="1:12" x14ac:dyDescent="0.25">
      <c r="A15"/>
      <c r="B15"/>
      <c r="C15" s="110" t="s">
        <v>28</v>
      </c>
      <c r="D15" s="110"/>
      <c r="E15" s="111" t="s">
        <v>29</v>
      </c>
      <c r="F15" s="111"/>
      <c r="G15" s="111"/>
    </row>
    <row r="16" spans="1:12" x14ac:dyDescent="0.25">
      <c r="A16"/>
      <c r="B16"/>
      <c r="C16"/>
      <c r="D16"/>
      <c r="E16"/>
    </row>
    <row r="17" spans="1:9" x14ac:dyDescent="0.25">
      <c r="A17"/>
      <c r="B17"/>
      <c r="C17"/>
      <c r="D17"/>
      <c r="E17" s="59" t="s">
        <v>32</v>
      </c>
      <c r="F17" s="58">
        <f>AVERAGE(C6:L6)</f>
        <v>0.8640713642113631</v>
      </c>
      <c r="H17" s="59"/>
      <c r="I17" s="58"/>
    </row>
    <row r="18" spans="1:9" x14ac:dyDescent="0.25">
      <c r="A18"/>
      <c r="B18"/>
      <c r="C18"/>
      <c r="D18"/>
      <c r="E18" s="59" t="s">
        <v>33</v>
      </c>
      <c r="F18" s="58">
        <f>_xlfn.STDEV.S(C6:L6)</f>
        <v>2.6831679159204279E-2</v>
      </c>
      <c r="H18" s="59"/>
      <c r="I18" s="58"/>
    </row>
    <row r="19" spans="1:9" x14ac:dyDescent="0.25">
      <c r="A19"/>
      <c r="B19"/>
      <c r="C19"/>
      <c r="D19"/>
      <c r="E19" s="59" t="s">
        <v>34</v>
      </c>
      <c r="F19" s="58">
        <f>F17+F18</f>
        <v>0.89090304337056736</v>
      </c>
      <c r="H19" s="59"/>
      <c r="I19" s="58"/>
    </row>
    <row r="20" spans="1:9" x14ac:dyDescent="0.25">
      <c r="A20"/>
      <c r="B20"/>
      <c r="C20"/>
      <c r="D20"/>
      <c r="E20" s="59" t="s">
        <v>35</v>
      </c>
      <c r="F20" s="58">
        <f>F17-F18</f>
        <v>0.83723968505215884</v>
      </c>
      <c r="H20" s="59"/>
      <c r="I20" s="58"/>
    </row>
    <row r="21" spans="1:9" x14ac:dyDescent="0.25">
      <c r="A21"/>
      <c r="B21"/>
      <c r="C21"/>
      <c r="D21"/>
      <c r="E21"/>
    </row>
    <row r="22" spans="1:9" x14ac:dyDescent="0.25">
      <c r="A22"/>
      <c r="B22"/>
      <c r="C22"/>
      <c r="D22"/>
      <c r="E22"/>
    </row>
    <row r="23" spans="1:9" x14ac:dyDescent="0.25">
      <c r="A23"/>
      <c r="B23"/>
      <c r="C23"/>
      <c r="D23"/>
      <c r="E23"/>
    </row>
    <row r="24" spans="1:9" x14ac:dyDescent="0.25">
      <c r="A24"/>
      <c r="B24"/>
      <c r="C24"/>
      <c r="D24"/>
      <c r="E24"/>
    </row>
    <row r="25" spans="1:9" x14ac:dyDescent="0.25">
      <c r="A25"/>
      <c r="B25"/>
      <c r="C25"/>
      <c r="D25"/>
      <c r="E25"/>
    </row>
    <row r="26" spans="1:9" x14ac:dyDescent="0.25">
      <c r="A26"/>
      <c r="B26"/>
      <c r="C26"/>
      <c r="D26"/>
      <c r="E26"/>
    </row>
    <row r="27" spans="1:9" x14ac:dyDescent="0.25">
      <c r="A27"/>
      <c r="B27"/>
      <c r="C27"/>
      <c r="D27"/>
      <c r="E27"/>
    </row>
    <row r="28" spans="1:9" x14ac:dyDescent="0.25">
      <c r="A28"/>
      <c r="B28"/>
      <c r="C28"/>
      <c r="D28"/>
      <c r="E28"/>
    </row>
  </sheetData>
  <mergeCells count="6">
    <mergeCell ref="B1:E1"/>
    <mergeCell ref="D10:F10"/>
    <mergeCell ref="D11:F11"/>
    <mergeCell ref="C13:F13"/>
    <mergeCell ref="C15:D15"/>
    <mergeCell ref="E15:G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</sheetPr>
  <dimension ref="A2:O29"/>
  <sheetViews>
    <sheetView showGridLines="0" topLeftCell="A4" workbookViewId="0">
      <selection activeCell="C33" sqref="C33"/>
    </sheetView>
  </sheetViews>
  <sheetFormatPr defaultRowHeight="15" x14ac:dyDescent="0.25"/>
  <cols>
    <col min="1" max="1" width="11.140625" customWidth="1"/>
    <col min="2" max="2" width="58.5703125" customWidth="1"/>
  </cols>
  <sheetData>
    <row r="2" spans="1:15" x14ac:dyDescent="0.25">
      <c r="F2" s="120" t="s">
        <v>13</v>
      </c>
      <c r="G2" s="121"/>
      <c r="H2" s="121"/>
      <c r="I2" s="121"/>
      <c r="J2" s="121"/>
      <c r="K2" s="121"/>
      <c r="L2" s="121"/>
      <c r="M2" s="121"/>
      <c r="N2" s="121"/>
      <c r="O2" s="122"/>
    </row>
    <row r="3" spans="1:15" x14ac:dyDescent="0.25">
      <c r="F3" s="57">
        <f>G3/(($A$10/$A$8)^($A$12*100))</f>
        <v>0.56140884319518725</v>
      </c>
      <c r="G3" s="57">
        <f>H3/(($A$10/$A$8)^($A$12*100))</f>
        <v>0.56581890384906219</v>
      </c>
      <c r="H3" s="57">
        <f>I3/(($A$10/$A$8)^($A$12*100))</f>
        <v>0.5702636070548075</v>
      </c>
      <c r="I3" s="57">
        <f>J3/(($A$10/$A$8)^($A$12*100))</f>
        <v>0.57474322494165087</v>
      </c>
      <c r="J3" s="72">
        <f>A10</f>
        <v>0.57925803177648927</v>
      </c>
      <c r="K3" s="57">
        <f>J3*(($A$10/$A$8)^($A$12*100))</f>
        <v>0.58380830398068106</v>
      </c>
      <c r="L3" s="57">
        <f>K3*(($A$10/$A$8)^($A$12*100))</f>
        <v>0.58839432014696991</v>
      </c>
      <c r="M3" s="57">
        <f>L3*(($A$10/$A$8)^($A$12*100))</f>
        <v>0.59301636105654187</v>
      </c>
      <c r="N3" s="57">
        <f>M3*(($A$10/$A$8)^($A$12*100))</f>
        <v>0.59767470969621639</v>
      </c>
      <c r="O3" s="57">
        <f>N3*(($A$10/$A$8)^($A$12*100))</f>
        <v>0.60236965127577213</v>
      </c>
    </row>
    <row r="4" spans="1:15" ht="16.5" x14ac:dyDescent="0.25">
      <c r="A4" s="123" t="s">
        <v>14</v>
      </c>
      <c r="B4" s="123"/>
      <c r="D4" s="124" t="s">
        <v>15</v>
      </c>
      <c r="E4" s="57">
        <f t="shared" ref="E4:E14" si="0">E5/(($A$10/$A$8)^($A$12*100))</f>
        <v>0.52734352667851148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27" t="s">
        <v>16</v>
      </c>
      <c r="B5" s="127"/>
      <c r="D5" s="125"/>
      <c r="E5" s="57">
        <f t="shared" si="0"/>
        <v>0.53148599248799999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DADOS!E24</f>
        <v>IQ02</v>
      </c>
      <c r="B6" s="10" t="str">
        <f>DADOS!B24</f>
        <v>Índice de conformidade da qualidade do efluente de ETE</v>
      </c>
      <c r="D6" s="125"/>
      <c r="E6" s="57">
        <f t="shared" si="0"/>
        <v>0.53566099879929541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27" t="s">
        <v>17</v>
      </c>
      <c r="B7" s="127"/>
      <c r="D7" s="125"/>
      <c r="E7" s="57">
        <f t="shared" si="0"/>
        <v>0.53986880122929526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28">
        <f>'IG02'!L6</f>
        <v>0.5702636070548075</v>
      </c>
      <c r="B8" s="128"/>
      <c r="D8" s="125"/>
      <c r="E8" s="57">
        <f t="shared" si="0"/>
        <v>0.54410965740285611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27" t="s">
        <v>18</v>
      </c>
      <c r="B9" s="127"/>
      <c r="D9" s="125"/>
      <c r="E9" s="57">
        <f t="shared" si="0"/>
        <v>0.5483838269685668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28">
        <f>'IG02'!G13</f>
        <v>0.57925803177648927</v>
      </c>
      <c r="B10" s="128"/>
      <c r="D10" s="125"/>
      <c r="E10" s="57">
        <f t="shared" si="0"/>
        <v>0.55269157161464577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27" t="s">
        <v>19</v>
      </c>
      <c r="B11" s="127"/>
      <c r="D11" s="125"/>
      <c r="E11" s="57">
        <f t="shared" si="0"/>
        <v>0.55703315508496287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29">
        <v>5.0000000000000001E-3</v>
      </c>
      <c r="B12" s="129"/>
      <c r="D12" s="125"/>
      <c r="E12" s="57">
        <f t="shared" si="0"/>
        <v>0.56140884319518725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27" t="s">
        <v>20</v>
      </c>
      <c r="B13" s="127"/>
      <c r="D13" s="125"/>
      <c r="E13" s="57">
        <f t="shared" si="0"/>
        <v>0.56581890384906219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19">
        <v>5.0000000000000001E-4</v>
      </c>
      <c r="B14" s="119"/>
      <c r="D14" s="125"/>
      <c r="E14" s="57">
        <f t="shared" si="0"/>
        <v>0.5702636070548075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30" t="s">
        <v>36</v>
      </c>
      <c r="B15" s="127"/>
      <c r="D15" s="125"/>
      <c r="E15" s="57">
        <f>E16/(($A$10/$A$8)^($A$12*100))</f>
        <v>0.57474322494165087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19">
        <v>5.5000000000000003E-4</v>
      </c>
      <c r="B16" s="119"/>
      <c r="D16" s="125"/>
      <c r="E16" s="72">
        <f>A10</f>
        <v>0.57925803177648927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27" t="s">
        <v>21</v>
      </c>
      <c r="B17" s="127"/>
      <c r="D17" s="125"/>
      <c r="E17" s="57">
        <f>E16*(($A$10/$A$8)^($A$12*100))</f>
        <v>0.58380830398068106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19">
        <v>4.4999999999999999E-4</v>
      </c>
      <c r="B18" s="119"/>
      <c r="D18" s="125"/>
      <c r="E18" s="57">
        <f t="shared" ref="E18:E29" si="3">E17*(($A$10/$A$8)^($A$12*100))</f>
        <v>0.58839432014696991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25"/>
      <c r="E19" s="57">
        <f t="shared" si="3"/>
        <v>0.59301636105654187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25"/>
      <c r="E20" s="57">
        <f t="shared" si="3"/>
        <v>0.59767470969621639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25"/>
      <c r="E21" s="57">
        <f t="shared" si="3"/>
        <v>0.60236965127577213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25"/>
      <c r="E22" s="57">
        <f t="shared" si="3"/>
        <v>0.60710147324540942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25"/>
      <c r="E23" s="57">
        <f t="shared" si="3"/>
        <v>0.61187046531334921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25"/>
      <c r="E24" s="57">
        <f t="shared" si="3"/>
        <v>0.61667691946357073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25"/>
      <c r="E25" s="57">
        <f t="shared" si="3"/>
        <v>0.62152112997368836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25"/>
      <c r="E26" s="57">
        <f t="shared" si="3"/>
        <v>0.62640339343296891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25"/>
      <c r="E27" s="57">
        <f t="shared" si="3"/>
        <v>0.63132400876049066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25"/>
      <c r="E28" s="57">
        <f t="shared" si="3"/>
        <v>0.63628327722344435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26"/>
      <c r="E29" s="57">
        <f t="shared" si="3"/>
        <v>0.64128150245557902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</sheetPr>
  <dimension ref="A2:O29"/>
  <sheetViews>
    <sheetView showGridLines="0" workbookViewId="0">
      <selection activeCell="F4" sqref="F4"/>
    </sheetView>
  </sheetViews>
  <sheetFormatPr defaultRowHeight="15" x14ac:dyDescent="0.25"/>
  <cols>
    <col min="1" max="1" width="11.140625" customWidth="1"/>
    <col min="2" max="2" width="50.140625" customWidth="1"/>
    <col min="5" max="5" width="10.7109375" customWidth="1"/>
  </cols>
  <sheetData>
    <row r="2" spans="1:15" x14ac:dyDescent="0.25">
      <c r="F2" s="120" t="s">
        <v>13</v>
      </c>
      <c r="G2" s="121"/>
      <c r="H2" s="121"/>
      <c r="I2" s="121"/>
      <c r="J2" s="121"/>
      <c r="K2" s="121"/>
      <c r="L2" s="121"/>
      <c r="M2" s="121"/>
      <c r="N2" s="121"/>
      <c r="O2" s="122"/>
    </row>
    <row r="3" spans="1:15" x14ac:dyDescent="0.25">
      <c r="F3" s="73">
        <f>G3/(($A$10/$A$8)^($A$12*100))</f>
        <v>11218.126745335407</v>
      </c>
      <c r="G3" s="73">
        <f>H3/(($A$10/$A$8)^($A$12*100))</f>
        <v>10697.329136802378</v>
      </c>
      <c r="H3" s="73">
        <f>I3/(($A$10/$A$8)^($A$12*100))</f>
        <v>10200.709375</v>
      </c>
      <c r="I3" s="73">
        <f>J3/(($A$10/$A$8)^($A$12*100))</f>
        <v>9727.1450118544853</v>
      </c>
      <c r="J3" s="74">
        <f>A10</f>
        <v>9275.5657085510866</v>
      </c>
      <c r="K3" s="73">
        <f>J3*(($A$10/$A$8)^($A$12*100))</f>
        <v>8844.9508163799837</v>
      </c>
      <c r="L3" s="73">
        <f>K3*(($A$10/$A$8)^($A$12*100))</f>
        <v>8434.327069890549</v>
      </c>
      <c r="M3" s="73">
        <f>L3*(($A$10/$A$8)^($A$12*100))</f>
        <v>8042.7663871401201</v>
      </c>
      <c r="N3" s="73">
        <f>M3*(($A$10/$A$8)^($A$12*100))</f>
        <v>7669.3837720654537</v>
      </c>
      <c r="O3" s="73">
        <f>N3*(($A$10/$A$8)^($A$12*100))</f>
        <v>7313.3353142358501</v>
      </c>
    </row>
    <row r="4" spans="1:15" ht="16.5" x14ac:dyDescent="0.25">
      <c r="A4" s="123" t="s">
        <v>14</v>
      </c>
      <c r="B4" s="123"/>
      <c r="D4" s="124" t="s">
        <v>15</v>
      </c>
      <c r="E4" s="73">
        <f t="shared" ref="E4:E14" si="0">E5/(($A$10/$A$8)^($A$12*100))</f>
        <v>16408.928202652412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27" t="s">
        <v>16</v>
      </c>
      <c r="B5" s="127"/>
      <c r="D5" s="125"/>
      <c r="E5" s="73">
        <f t="shared" si="0"/>
        <v>15647.149452908394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DADOS!E9</f>
        <v>IN073</v>
      </c>
      <c r="B6" s="10" t="str">
        <f>DADOS!B9</f>
        <v>Economias atingidas por interrupções sistemáticas</v>
      </c>
      <c r="D6" s="125"/>
      <c r="E6" s="73">
        <f t="shared" si="0"/>
        <v>14920.736015047925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27" t="s">
        <v>17</v>
      </c>
      <c r="B7" s="127"/>
      <c r="D7" s="125"/>
      <c r="E7" s="73">
        <f t="shared" si="0"/>
        <v>14228.046066842384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31">
        <f>'IN073'!L6</f>
        <v>10200.709375</v>
      </c>
      <c r="B8" s="131"/>
      <c r="D8" s="125"/>
      <c r="E8" s="73">
        <f t="shared" si="0"/>
        <v>13567.514007085581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27" t="s">
        <v>18</v>
      </c>
      <c r="B9" s="127"/>
      <c r="D9" s="125"/>
      <c r="E9" s="73">
        <f t="shared" si="0"/>
        <v>12937.646917059468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31">
        <f>'IN073 (ajustado)'!G13</f>
        <v>9275.5657085510866</v>
      </c>
      <c r="B10" s="131"/>
      <c r="D10" s="125"/>
      <c r="E10" s="73">
        <f t="shared" si="0"/>
        <v>12337.021186275053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27" t="s">
        <v>19</v>
      </c>
      <c r="B11" s="127"/>
      <c r="D11" s="125"/>
      <c r="E11" s="73">
        <f t="shared" si="0"/>
        <v>11764.279294862126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29">
        <v>5.0000000000000001E-3</v>
      </c>
      <c r="B12" s="129"/>
      <c r="D12" s="125"/>
      <c r="E12" s="73">
        <f t="shared" si="0"/>
        <v>11218.126745335407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27" t="s">
        <v>20</v>
      </c>
      <c r="B13" s="127"/>
      <c r="D13" s="125"/>
      <c r="E13" s="73">
        <f t="shared" si="0"/>
        <v>10697.329136802378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19">
        <v>5.0000000000000001E-4</v>
      </c>
      <c r="B14" s="119"/>
      <c r="D14" s="125"/>
      <c r="E14" s="73">
        <f t="shared" si="0"/>
        <v>10200.709375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30" t="s">
        <v>36</v>
      </c>
      <c r="B15" s="127"/>
      <c r="D15" s="125"/>
      <c r="E15" s="73">
        <f>E16/(($A$10/$A$8)^($A$12*100))</f>
        <v>9727.1450118544853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19">
        <v>5.5000000000000003E-4</v>
      </c>
      <c r="B16" s="119"/>
      <c r="D16" s="125"/>
      <c r="E16" s="74">
        <f>A10</f>
        <v>9275.5657085510866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27" t="s">
        <v>21</v>
      </c>
      <c r="B17" s="127"/>
      <c r="D17" s="125"/>
      <c r="E17" s="73">
        <f>E16*(($A$10/$A$8)^($A$12*100))</f>
        <v>8844.9508163799837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19">
        <v>4.4999999999999999E-4</v>
      </c>
      <c r="B18" s="119"/>
      <c r="D18" s="125"/>
      <c r="E18" s="73">
        <f t="shared" ref="E18:E29" si="3">E17*(($A$10/$A$8)^($A$12*100))</f>
        <v>8434.327069890549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25"/>
      <c r="E19" s="73">
        <f t="shared" si="3"/>
        <v>8042.7663871401201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25"/>
      <c r="E20" s="73">
        <f t="shared" si="3"/>
        <v>7669.3837720654537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25"/>
      <c r="E21" s="73">
        <f t="shared" si="3"/>
        <v>7313.3353142358501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25"/>
      <c r="E22" s="73">
        <f t="shared" si="3"/>
        <v>6973.8162814670422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25"/>
      <c r="E23" s="73">
        <f t="shared" si="3"/>
        <v>6650.0593009848135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25"/>
      <c r="E24" s="73">
        <f t="shared" si="3"/>
        <v>6341.3326250274577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25"/>
      <c r="E25" s="73">
        <f t="shared" si="3"/>
        <v>6046.9384769670432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25"/>
      <c r="E26" s="73">
        <f t="shared" si="3"/>
        <v>5766.2114742114127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25"/>
      <c r="E27" s="73">
        <f t="shared" si="3"/>
        <v>5498.5171243224086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25"/>
      <c r="E28" s="73">
        <f t="shared" si="3"/>
        <v>5243.2503909512843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26"/>
      <c r="E29" s="73">
        <f t="shared" si="3"/>
        <v>4999.8343263500592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</sheetPr>
  <dimension ref="A2:O29"/>
  <sheetViews>
    <sheetView showGridLines="0" workbookViewId="0">
      <selection activeCell="A7" sqref="A7:B7"/>
    </sheetView>
  </sheetViews>
  <sheetFormatPr defaultRowHeight="15" x14ac:dyDescent="0.25"/>
  <cols>
    <col min="1" max="1" width="11.140625" customWidth="1"/>
    <col min="2" max="2" width="47.42578125" customWidth="1"/>
  </cols>
  <sheetData>
    <row r="2" spans="1:15" x14ac:dyDescent="0.25">
      <c r="F2" s="120" t="s">
        <v>13</v>
      </c>
      <c r="G2" s="121"/>
      <c r="H2" s="121"/>
      <c r="I2" s="121"/>
      <c r="J2" s="121"/>
      <c r="K2" s="121"/>
      <c r="L2" s="121"/>
      <c r="M2" s="121"/>
      <c r="N2" s="121"/>
      <c r="O2" s="122"/>
    </row>
    <row r="3" spans="1:15" x14ac:dyDescent="0.25">
      <c r="F3" s="15">
        <f>G3/(($A$10/$A$8)^($A$12*100))</f>
        <v>0.73958615968651498</v>
      </c>
      <c r="G3" s="15">
        <f>H3/(($A$10/$A$8)^($A$12*100))</f>
        <v>0.70624989311690745</v>
      </c>
      <c r="H3" s="15">
        <f>I3/(($A$10/$A$8)^($A$12*100))</f>
        <v>0.67441623263888895</v>
      </c>
      <c r="I3" s="15">
        <f>J3/(($A$10/$A$8)^($A$12*100))</f>
        <v>0.64401744946040163</v>
      </c>
      <c r="J3" s="16">
        <f>A10</f>
        <v>0.61498886761161375</v>
      </c>
      <c r="K3" s="15">
        <f>J3*(($A$10/$A$8)^($A$12*100))</f>
        <v>0.5872687263413503</v>
      </c>
      <c r="L3" s="15">
        <f>K3*(($A$10/$A$8)^($A$12*100))</f>
        <v>0.56079804871589645</v>
      </c>
      <c r="M3" s="15">
        <f>L3*(($A$10/$A$8)^($A$12*100))</f>
        <v>0.53552051614060725</v>
      </c>
      <c r="N3" s="15">
        <f>M3*(($A$10/$A$8)^($A$12*100))</f>
        <v>0.51138234853735731</v>
      </c>
      <c r="O3" s="15">
        <f>N3*(($A$10/$A$8)^($A$12*100))</f>
        <v>0.48833218992289762</v>
      </c>
    </row>
    <row r="4" spans="1:15" ht="16.5" x14ac:dyDescent="0.25">
      <c r="A4" s="123" t="s">
        <v>14</v>
      </c>
      <c r="B4" s="123"/>
      <c r="D4" s="124" t="s">
        <v>15</v>
      </c>
      <c r="E4" s="15">
        <f t="shared" ref="E4:E14" si="0">E5/(($A$10/$A$8)^($A$12*100))</f>
        <v>1.0696256708201357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27" t="s">
        <v>16</v>
      </c>
      <c r="B5" s="127"/>
      <c r="D5" s="125"/>
      <c r="E5" s="15">
        <f t="shared" si="0"/>
        <v>1.021413131922343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DADOS!E12</f>
        <v>IN074</v>
      </c>
      <c r="B6" s="10" t="str">
        <f>DADOS!B12</f>
        <v>Duração média das interrupções sistemáticas</v>
      </c>
      <c r="D6" s="125"/>
      <c r="E6" s="15">
        <f t="shared" si="0"/>
        <v>0.97537373543350969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27" t="s">
        <v>17</v>
      </c>
      <c r="B7" s="127"/>
      <c r="D7" s="125"/>
      <c r="E7" s="15">
        <f t="shared" si="0"/>
        <v>0.93140952866254001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32">
        <f>'IN074'!L6</f>
        <v>0.67441623263888884</v>
      </c>
      <c r="B8" s="132"/>
      <c r="D8" s="125"/>
      <c r="E8" s="15">
        <f t="shared" si="0"/>
        <v>0.88942697405912796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27" t="s">
        <v>18</v>
      </c>
      <c r="B9" s="127"/>
      <c r="D9" s="125"/>
      <c r="E9" s="15">
        <f t="shared" si="0"/>
        <v>0.84933675020474675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32">
        <f>'IN074 (ajustado)'!G13</f>
        <v>0.61498886761161375</v>
      </c>
      <c r="B10" s="132"/>
      <c r="D10" s="125"/>
      <c r="E10" s="15">
        <f t="shared" si="0"/>
        <v>0.81105356177381283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27" t="s">
        <v>19</v>
      </c>
      <c r="B11" s="127"/>
      <c r="D11" s="125"/>
      <c r="E11" s="15">
        <f t="shared" si="0"/>
        <v>0.77449595806070148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29">
        <v>5.0000000000000001E-3</v>
      </c>
      <c r="B12" s="129"/>
      <c r="D12" s="125"/>
      <c r="E12" s="15">
        <f t="shared" si="0"/>
        <v>0.73958615968651498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27" t="s">
        <v>20</v>
      </c>
      <c r="B13" s="127"/>
      <c r="D13" s="125"/>
      <c r="E13" s="15">
        <f t="shared" si="0"/>
        <v>0.70624989311690745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19">
        <v>5.0000000000000001E-4</v>
      </c>
      <c r="B14" s="119"/>
      <c r="D14" s="125"/>
      <c r="E14" s="15">
        <f t="shared" si="0"/>
        <v>0.67441623263888895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30" t="s">
        <v>36</v>
      </c>
      <c r="B15" s="127"/>
      <c r="D15" s="125"/>
      <c r="E15" s="15">
        <f>E16/(($A$10/$A$8)^($A$12*100))</f>
        <v>0.64401744946040163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19">
        <v>5.5000000000000003E-4</v>
      </c>
      <c r="B16" s="119"/>
      <c r="D16" s="125"/>
      <c r="E16" s="16">
        <f>A10</f>
        <v>0.61498886761161375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27" t="s">
        <v>21</v>
      </c>
      <c r="B17" s="127"/>
      <c r="D17" s="125"/>
      <c r="E17" s="15">
        <f>E16*(($A$10/$A$8)^($A$12*100))</f>
        <v>0.5872687263413503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19">
        <v>4.4999999999999999E-4</v>
      </c>
      <c r="B18" s="119"/>
      <c r="D18" s="125"/>
      <c r="E18" s="15">
        <f t="shared" ref="E18:E29" si="3">E17*(($A$10/$A$8)^($A$12*100))</f>
        <v>0.56079804871589645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25"/>
      <c r="E19" s="15">
        <f t="shared" si="3"/>
        <v>0.53552051614060725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25"/>
      <c r="E20" s="15">
        <f t="shared" si="3"/>
        <v>0.51138234853735731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25"/>
      <c r="E21" s="15">
        <f t="shared" si="3"/>
        <v>0.48833218992289762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25"/>
      <c r="E22" s="15">
        <f t="shared" si="3"/>
        <v>0.466320999144679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25"/>
      <c r="E23" s="15">
        <f t="shared" si="3"/>
        <v>0.44530194554167229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25"/>
      <c r="E24" s="15">
        <f t="shared" si="3"/>
        <v>0.42523030930819516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25"/>
      <c r="E25" s="15">
        <f t="shared" si="3"/>
        <v>0.40606338634876171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25"/>
      <c r="E26" s="15">
        <f t="shared" si="3"/>
        <v>0.38776039742152496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25"/>
      <c r="E27" s="15">
        <f t="shared" si="3"/>
        <v>0.3702824013770073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25"/>
      <c r="E28" s="15">
        <f t="shared" si="3"/>
        <v>0.35359221230752763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26"/>
      <c r="E29" s="15">
        <f t="shared" si="3"/>
        <v>0.3376543204310527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00000"/>
  </sheetPr>
  <dimension ref="A2:O29"/>
  <sheetViews>
    <sheetView showGridLines="0" workbookViewId="0">
      <selection activeCell="A7" sqref="A7:B7"/>
    </sheetView>
  </sheetViews>
  <sheetFormatPr defaultRowHeight="15" x14ac:dyDescent="0.25"/>
  <cols>
    <col min="1" max="1" width="11.140625" customWidth="1"/>
    <col min="2" max="2" width="56" customWidth="1"/>
  </cols>
  <sheetData>
    <row r="2" spans="1:15" x14ac:dyDescent="0.25">
      <c r="F2" s="120" t="s">
        <v>13</v>
      </c>
      <c r="G2" s="121"/>
      <c r="H2" s="121"/>
      <c r="I2" s="121"/>
      <c r="J2" s="121"/>
      <c r="K2" s="121"/>
      <c r="L2" s="121"/>
      <c r="M2" s="121"/>
      <c r="N2" s="121"/>
      <c r="O2" s="122"/>
    </row>
    <row r="3" spans="1:15" x14ac:dyDescent="0.25">
      <c r="F3" s="18">
        <f>G3/(($A$10/$A$8)^($A$12*100))</f>
        <v>2.0758924849149567</v>
      </c>
      <c r="G3" s="18">
        <f>H3/(($A$10/$A$8)^($A$12*100))</f>
        <v>2.0653741731309592</v>
      </c>
      <c r="H3" s="18">
        <f>I3/(($A$10/$A$8)^($A$12*100))</f>
        <v>2.0549091564398383</v>
      </c>
      <c r="I3" s="18">
        <f>J3/(($A$10/$A$8)^($A$12*100))</f>
        <v>2.044497164801403</v>
      </c>
      <c r="J3" s="19">
        <f>A10</f>
        <v>2.034137929543725</v>
      </c>
      <c r="K3" s="18">
        <f>J3*(($A$10/$A$8)^($A$12*100))</f>
        <v>2.0238311833562062</v>
      </c>
      <c r="L3" s="18">
        <f>K3*(($A$10/$A$8)^($A$12*100))</f>
        <v>2.0135766602826815</v>
      </c>
      <c r="M3" s="18">
        <f>L3*(($A$10/$A$8)^($A$12*100))</f>
        <v>2.0033740957145549</v>
      </c>
      <c r="N3" s="18">
        <f>M3*(($A$10/$A$8)^($A$12*100))</f>
        <v>1.9932232263839726</v>
      </c>
      <c r="O3" s="18">
        <f>N3*(($A$10/$A$8)^($A$12*100))</f>
        <v>1.9831237903570289</v>
      </c>
    </row>
    <row r="4" spans="1:15" ht="16.5" x14ac:dyDescent="0.25">
      <c r="A4" s="123" t="s">
        <v>14</v>
      </c>
      <c r="B4" s="123"/>
      <c r="D4" s="124" t="s">
        <v>15</v>
      </c>
      <c r="E4" s="18">
        <f t="shared" ref="E4:E14" si="0">E5/(($A$10/$A$8)^($A$12*100))</f>
        <v>2.1619904644319301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27" t="s">
        <v>16</v>
      </c>
      <c r="B5" s="127"/>
      <c r="D5" s="125"/>
      <c r="E5" s="18">
        <f t="shared" si="0"/>
        <v>2.1510359039505107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DADOS!E15</f>
        <v>IN082</v>
      </c>
      <c r="B6" s="10" t="str">
        <f>DADOS!B15</f>
        <v>Extravasamentos de esgotos por extensão de rede</v>
      </c>
      <c r="D6" s="125"/>
      <c r="E6" s="18">
        <f t="shared" si="0"/>
        <v>2.1401368489846408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27" t="s">
        <v>26</v>
      </c>
      <c r="B7" s="127"/>
      <c r="D7" s="125"/>
      <c r="E7" s="18">
        <f t="shared" si="0"/>
        <v>2.1292930182941681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33">
        <f>'IN082'!L6</f>
        <v>2.0549091564398383</v>
      </c>
      <c r="B8" s="133"/>
      <c r="D8" s="125"/>
      <c r="E8" s="18">
        <f t="shared" si="0"/>
        <v>2.1185041320639524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27" t="s">
        <v>27</v>
      </c>
      <c r="B9" s="127"/>
      <c r="D9" s="125"/>
      <c r="E9" s="18">
        <f t="shared" si="0"/>
        <v>2.1077699118966451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33">
        <f>'IN082'!G13</f>
        <v>2.034137929543725</v>
      </c>
      <c r="B10" s="133"/>
      <c r="D10" s="125"/>
      <c r="E10" s="18">
        <f t="shared" si="0"/>
        <v>2.0970900808055055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27" t="s">
        <v>19</v>
      </c>
      <c r="B11" s="127"/>
      <c r="D11" s="125"/>
      <c r="E11" s="18">
        <f t="shared" si="0"/>
        <v>2.086464363207253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29">
        <v>5.0000000000000001E-3</v>
      </c>
      <c r="B12" s="129"/>
      <c r="D12" s="125"/>
      <c r="E12" s="18">
        <f t="shared" si="0"/>
        <v>2.0758924849149567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27" t="s">
        <v>20</v>
      </c>
      <c r="B13" s="127"/>
      <c r="D13" s="125"/>
      <c r="E13" s="18">
        <f t="shared" si="0"/>
        <v>2.0653741731309592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19">
        <v>5.0000000000000001E-4</v>
      </c>
      <c r="B14" s="119"/>
      <c r="D14" s="125"/>
      <c r="E14" s="18">
        <f t="shared" si="0"/>
        <v>2.0549091564398383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30" t="s">
        <v>36</v>
      </c>
      <c r="B15" s="127"/>
      <c r="D15" s="125"/>
      <c r="E15" s="18">
        <f>E16/(($A$10/$A$8)^($A$12*100))</f>
        <v>2.044497164801403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19">
        <v>5.5000000000000003E-4</v>
      </c>
      <c r="B16" s="119"/>
      <c r="D16" s="125"/>
      <c r="E16" s="19">
        <f>A10</f>
        <v>2.034137929543725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27" t="s">
        <v>21</v>
      </c>
      <c r="B17" s="127"/>
      <c r="D17" s="125"/>
      <c r="E17" s="18">
        <f>E16*(($A$10/$A$8)^($A$12*100))</f>
        <v>2.0238311833562062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19">
        <v>4.4999999999999999E-4</v>
      </c>
      <c r="B18" s="119"/>
      <c r="D18" s="125"/>
      <c r="E18" s="18">
        <f t="shared" ref="E18:E29" si="3">E17*(($A$10/$A$8)^($A$12*100))</f>
        <v>2.0135766602826815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25"/>
      <c r="E19" s="18">
        <f t="shared" si="3"/>
        <v>2.0033740957145549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25"/>
      <c r="E20" s="18">
        <f t="shared" si="3"/>
        <v>1.9932232263839726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25"/>
      <c r="E21" s="18">
        <f t="shared" si="3"/>
        <v>1.9831237903570289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25"/>
      <c r="E22" s="18">
        <f t="shared" si="3"/>
        <v>1.9730755270270075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25"/>
      <c r="E23" s="18">
        <f t="shared" si="3"/>
        <v>1.9630781771076569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25"/>
      <c r="E24" s="18">
        <f t="shared" si="3"/>
        <v>1.9531314826264994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25"/>
      <c r="E25" s="18">
        <f t="shared" si="3"/>
        <v>1.943235186918175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25"/>
      <c r="E26" s="18">
        <f t="shared" si="3"/>
        <v>1.9333890346178177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25"/>
      <c r="E27" s="18">
        <f t="shared" si="3"/>
        <v>1.9235927716544663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25"/>
      <c r="E28" s="18">
        <f t="shared" si="3"/>
        <v>1.9138461452445084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26"/>
      <c r="E29" s="18">
        <f t="shared" si="3"/>
        <v>1.9041489038851573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C00000"/>
  </sheetPr>
  <dimension ref="A2:O29"/>
  <sheetViews>
    <sheetView showGridLines="0" workbookViewId="0">
      <selection activeCell="A7" sqref="A7:B7"/>
    </sheetView>
  </sheetViews>
  <sheetFormatPr defaultRowHeight="15" x14ac:dyDescent="0.25"/>
  <cols>
    <col min="1" max="1" width="11.140625" customWidth="1"/>
    <col min="2" max="2" width="40" customWidth="1"/>
  </cols>
  <sheetData>
    <row r="2" spans="1:15" x14ac:dyDescent="0.25">
      <c r="F2" s="120" t="s">
        <v>13</v>
      </c>
      <c r="G2" s="121"/>
      <c r="H2" s="121"/>
      <c r="I2" s="121"/>
      <c r="J2" s="121"/>
      <c r="K2" s="121"/>
      <c r="L2" s="121"/>
      <c r="M2" s="121"/>
      <c r="N2" s="121"/>
      <c r="O2" s="122"/>
    </row>
    <row r="3" spans="1:15" x14ac:dyDescent="0.25">
      <c r="F3" s="57">
        <f>G3/(($A$10/$A$8)^($A$12*100))</f>
        <v>0.79572677835828187</v>
      </c>
      <c r="G3" s="57">
        <f>H3/(($A$10/$A$8)^($A$12*100))</f>
        <v>0.8132425470391651</v>
      </c>
      <c r="H3" s="57">
        <f>I3/(($A$10/$A$8)^($A$12*100))</f>
        <v>0.83114387790147348</v>
      </c>
      <c r="I3" s="57">
        <f>J3/(($A$10/$A$8)^($A$12*100))</f>
        <v>0.84943925805179388</v>
      </c>
      <c r="J3" s="72">
        <f>A10</f>
        <v>0.86813736141736531</v>
      </c>
      <c r="K3" s="57">
        <f>J3*(($A$10/$A$8)^($A$12*100))</f>
        <v>0.88724705285842953</v>
      </c>
      <c r="L3" s="57">
        <f>K3*(($A$10/$A$8)^($A$12*100))</f>
        <v>0.90677739237110366</v>
      </c>
      <c r="M3" s="57">
        <f>L3*(($A$10/$A$8)^($A$12*100))</f>
        <v>0.92673763938276743</v>
      </c>
      <c r="N3" s="57">
        <f>M3*(($A$10/$A$8)^($A$12*100))</f>
        <v>0.94713725714200225</v>
      </c>
      <c r="O3" s="57">
        <f>N3*(($A$10/$A$8)^($A$12*100))</f>
        <v>0.96798591720516258</v>
      </c>
    </row>
    <row r="4" spans="1:15" ht="16.5" x14ac:dyDescent="0.25">
      <c r="A4" s="123" t="s">
        <v>14</v>
      </c>
      <c r="B4" s="123"/>
      <c r="D4" s="124" t="s">
        <v>15</v>
      </c>
      <c r="E4" s="57">
        <f t="shared" ref="E4:E14" si="0">E5/(($A$10/$A$8)^($A$12*100))</f>
        <v>0.66852095725500404</v>
      </c>
      <c r="F4" s="5">
        <f t="shared" ref="F4:O19" si="1">F5-$A$16</f>
        <v>-6.4000000000000012E-3</v>
      </c>
      <c r="G4" s="5">
        <f t="shared" si="1"/>
        <v>-6.4500000000000009E-3</v>
      </c>
      <c r="H4" s="5">
        <f t="shared" si="1"/>
        <v>-6.5000000000000014E-3</v>
      </c>
      <c r="I4" s="5">
        <f t="shared" si="1"/>
        <v>-6.5500000000000011E-3</v>
      </c>
      <c r="J4" s="5">
        <f t="shared" si="1"/>
        <v>-6.6000000000000008E-3</v>
      </c>
      <c r="K4" s="5">
        <f t="shared" si="1"/>
        <v>-6.6500000000000014E-3</v>
      </c>
      <c r="L4" s="5">
        <f t="shared" si="1"/>
        <v>-6.7000000000000011E-3</v>
      </c>
      <c r="M4" s="5">
        <f t="shared" si="1"/>
        <v>-6.7500000000000017E-3</v>
      </c>
      <c r="N4" s="5">
        <f t="shared" si="1"/>
        <v>-6.8000000000000014E-3</v>
      </c>
      <c r="O4" s="6">
        <f t="shared" si="1"/>
        <v>-6.8500000000000019E-3</v>
      </c>
    </row>
    <row r="5" spans="1:15" ht="16.5" x14ac:dyDescent="0.25">
      <c r="A5" s="127" t="s">
        <v>16</v>
      </c>
      <c r="B5" s="127"/>
      <c r="D5" s="125"/>
      <c r="E5" s="57">
        <f t="shared" si="0"/>
        <v>0.68323663450010097</v>
      </c>
      <c r="F5" s="5">
        <f t="shared" si="1"/>
        <v>-5.850000000000001E-3</v>
      </c>
      <c r="G5" s="5">
        <f t="shared" si="1"/>
        <v>-5.9000000000000007E-3</v>
      </c>
      <c r="H5" s="5">
        <f t="shared" si="1"/>
        <v>-5.9500000000000013E-3</v>
      </c>
      <c r="I5" s="5">
        <f t="shared" si="1"/>
        <v>-6.000000000000001E-3</v>
      </c>
      <c r="J5" s="5">
        <f t="shared" si="1"/>
        <v>-6.0500000000000007E-3</v>
      </c>
      <c r="K5" s="5">
        <f t="shared" si="1"/>
        <v>-6.1000000000000013E-3</v>
      </c>
      <c r="L5" s="5">
        <f t="shared" si="1"/>
        <v>-6.150000000000001E-3</v>
      </c>
      <c r="M5" s="5">
        <f t="shared" si="1"/>
        <v>-6.2000000000000015E-3</v>
      </c>
      <c r="N5" s="5">
        <f t="shared" si="1"/>
        <v>-6.2500000000000012E-3</v>
      </c>
      <c r="O5" s="5">
        <f t="shared" si="1"/>
        <v>-6.3000000000000018E-3</v>
      </c>
    </row>
    <row r="6" spans="1:15" ht="16.5" x14ac:dyDescent="0.25">
      <c r="A6" s="11" t="str">
        <f>DADOS!E27</f>
        <v>IDS</v>
      </c>
      <c r="B6" s="10" t="str">
        <f>DADOS!B27</f>
        <v>Indicador de Desempenho do SIPSAP</v>
      </c>
      <c r="D6" s="125"/>
      <c r="E6" s="57">
        <f t="shared" si="0"/>
        <v>0.69827623750164847</v>
      </c>
      <c r="F6" s="5">
        <f t="shared" si="1"/>
        <v>-5.3000000000000009E-3</v>
      </c>
      <c r="G6" s="5">
        <f t="shared" si="1"/>
        <v>-5.3500000000000006E-3</v>
      </c>
      <c r="H6" s="5">
        <f t="shared" si="1"/>
        <v>-5.4000000000000012E-3</v>
      </c>
      <c r="I6" s="5">
        <f t="shared" si="1"/>
        <v>-5.4500000000000009E-3</v>
      </c>
      <c r="J6" s="5">
        <f t="shared" si="1"/>
        <v>-5.5000000000000005E-3</v>
      </c>
      <c r="K6" s="5">
        <f t="shared" si="1"/>
        <v>-5.5500000000000011E-3</v>
      </c>
      <c r="L6" s="5">
        <f t="shared" si="1"/>
        <v>-5.6000000000000008E-3</v>
      </c>
      <c r="M6" s="5">
        <f t="shared" si="1"/>
        <v>-5.6500000000000014E-3</v>
      </c>
      <c r="N6" s="5">
        <f t="shared" si="1"/>
        <v>-5.7000000000000011E-3</v>
      </c>
      <c r="O6" s="5">
        <f t="shared" si="1"/>
        <v>-5.7500000000000016E-3</v>
      </c>
    </row>
    <row r="7" spans="1:15" ht="16.5" x14ac:dyDescent="0.25">
      <c r="A7" s="127" t="s">
        <v>17</v>
      </c>
      <c r="B7" s="127"/>
      <c r="D7" s="125"/>
      <c r="E7" s="57">
        <f t="shared" si="0"/>
        <v>0.71364689660736647</v>
      </c>
      <c r="F7" s="5">
        <f t="shared" si="1"/>
        <v>-4.7500000000000007E-3</v>
      </c>
      <c r="G7" s="5">
        <f t="shared" si="1"/>
        <v>-4.8000000000000004E-3</v>
      </c>
      <c r="H7" s="5">
        <f t="shared" si="1"/>
        <v>-4.850000000000001E-3</v>
      </c>
      <c r="I7" s="5">
        <f t="shared" si="1"/>
        <v>-4.9000000000000007E-3</v>
      </c>
      <c r="J7" s="5">
        <f t="shared" si="1"/>
        <v>-4.9500000000000004E-3</v>
      </c>
      <c r="K7" s="5">
        <f t="shared" si="1"/>
        <v>-5.000000000000001E-3</v>
      </c>
      <c r="L7" s="5">
        <f t="shared" si="1"/>
        <v>-5.0500000000000007E-3</v>
      </c>
      <c r="M7" s="5">
        <f t="shared" si="1"/>
        <v>-5.1000000000000012E-3</v>
      </c>
      <c r="N7" s="5">
        <f t="shared" si="1"/>
        <v>-5.1500000000000009E-3</v>
      </c>
      <c r="O7" s="5">
        <f t="shared" si="1"/>
        <v>-5.2000000000000015E-3</v>
      </c>
    </row>
    <row r="8" spans="1:15" ht="16.5" x14ac:dyDescent="0.25">
      <c r="A8" s="128">
        <f>' IDS (ajustado)'!L6</f>
        <v>0.83114387790147348</v>
      </c>
      <c r="B8" s="128"/>
      <c r="D8" s="125"/>
      <c r="E8" s="57">
        <f t="shared" si="0"/>
        <v>0.72935589912025733</v>
      </c>
      <c r="F8" s="5">
        <f t="shared" si="1"/>
        <v>-4.2000000000000006E-3</v>
      </c>
      <c r="G8" s="5">
        <f t="shared" si="1"/>
        <v>-4.2500000000000003E-3</v>
      </c>
      <c r="H8" s="5">
        <f t="shared" si="1"/>
        <v>-4.3000000000000009E-3</v>
      </c>
      <c r="I8" s="5">
        <f t="shared" si="1"/>
        <v>-4.3500000000000006E-3</v>
      </c>
      <c r="J8" s="5">
        <f t="shared" si="1"/>
        <v>-4.4000000000000003E-3</v>
      </c>
      <c r="K8" s="5">
        <f t="shared" si="1"/>
        <v>-4.4500000000000008E-3</v>
      </c>
      <c r="L8" s="5">
        <f t="shared" si="1"/>
        <v>-4.5000000000000005E-3</v>
      </c>
      <c r="M8" s="5">
        <f t="shared" si="1"/>
        <v>-4.5500000000000011E-3</v>
      </c>
      <c r="N8" s="5">
        <f t="shared" si="1"/>
        <v>-4.6000000000000008E-3</v>
      </c>
      <c r="O8" s="5">
        <f t="shared" si="1"/>
        <v>-4.6500000000000014E-3</v>
      </c>
    </row>
    <row r="9" spans="1:15" ht="16.5" x14ac:dyDescent="0.25">
      <c r="A9" s="127" t="s">
        <v>18</v>
      </c>
      <c r="B9" s="127"/>
      <c r="D9" s="125"/>
      <c r="E9" s="57">
        <f t="shared" si="0"/>
        <v>0.74541069275355132</v>
      </c>
      <c r="F9" s="5">
        <f t="shared" si="1"/>
        <v>-3.6500000000000005E-3</v>
      </c>
      <c r="G9" s="5">
        <f t="shared" si="1"/>
        <v>-3.7000000000000006E-3</v>
      </c>
      <c r="H9" s="5">
        <f t="shared" si="1"/>
        <v>-3.7500000000000007E-3</v>
      </c>
      <c r="I9" s="5">
        <f t="shared" si="1"/>
        <v>-3.8000000000000009E-3</v>
      </c>
      <c r="J9" s="5">
        <f t="shared" si="1"/>
        <v>-3.8500000000000006E-3</v>
      </c>
      <c r="K9" s="5">
        <f t="shared" si="1"/>
        <v>-3.9000000000000007E-3</v>
      </c>
      <c r="L9" s="5">
        <f t="shared" si="1"/>
        <v>-3.9500000000000004E-3</v>
      </c>
      <c r="M9" s="5">
        <f t="shared" si="1"/>
        <v>-4.000000000000001E-3</v>
      </c>
      <c r="N9" s="5">
        <f t="shared" si="1"/>
        <v>-4.0500000000000006E-3</v>
      </c>
      <c r="O9" s="5">
        <f t="shared" si="1"/>
        <v>-4.1000000000000012E-3</v>
      </c>
    </row>
    <row r="10" spans="1:15" ht="16.5" x14ac:dyDescent="0.25">
      <c r="A10" s="128">
        <f>' IDS (ajustado)'!G13</f>
        <v>0.86813736141736531</v>
      </c>
      <c r="B10" s="128"/>
      <c r="D10" s="125"/>
      <c r="E10" s="57">
        <f t="shared" si="0"/>
        <v>0.76181888916170259</v>
      </c>
      <c r="F10" s="5">
        <f t="shared" si="1"/>
        <v>-3.1000000000000003E-3</v>
      </c>
      <c r="G10" s="5">
        <f t="shared" si="1"/>
        <v>-3.1500000000000005E-3</v>
      </c>
      <c r="H10" s="5">
        <f t="shared" si="1"/>
        <v>-3.2000000000000006E-3</v>
      </c>
      <c r="I10" s="5">
        <f t="shared" si="1"/>
        <v>-3.2500000000000007E-3</v>
      </c>
      <c r="J10" s="5">
        <f t="shared" si="1"/>
        <v>-3.3000000000000004E-3</v>
      </c>
      <c r="K10" s="5">
        <f t="shared" si="1"/>
        <v>-3.3500000000000005E-3</v>
      </c>
      <c r="L10" s="5">
        <f t="shared" si="1"/>
        <v>-3.4000000000000007E-3</v>
      </c>
      <c r="M10" s="5">
        <f t="shared" si="1"/>
        <v>-3.4500000000000008E-3</v>
      </c>
      <c r="N10" s="5">
        <f t="shared" si="1"/>
        <v>-3.5000000000000009E-3</v>
      </c>
      <c r="O10" s="5">
        <f t="shared" si="1"/>
        <v>-3.5500000000000011E-3</v>
      </c>
    </row>
    <row r="11" spans="1:15" ht="16.5" x14ac:dyDescent="0.25">
      <c r="A11" s="127" t="s">
        <v>19</v>
      </c>
      <c r="B11" s="127"/>
      <c r="D11" s="125"/>
      <c r="E11" s="57">
        <f t="shared" si="0"/>
        <v>0.77858826754911137</v>
      </c>
      <c r="F11" s="5">
        <f>F12-$A$16</f>
        <v>-2.5500000000000002E-3</v>
      </c>
      <c r="G11" s="5">
        <f t="shared" si="1"/>
        <v>-2.6000000000000003E-3</v>
      </c>
      <c r="H11" s="5">
        <f t="shared" si="1"/>
        <v>-2.6500000000000004E-3</v>
      </c>
      <c r="I11" s="5">
        <f t="shared" si="1"/>
        <v>-2.7000000000000006E-3</v>
      </c>
      <c r="J11" s="5">
        <f t="shared" si="1"/>
        <v>-2.7500000000000003E-3</v>
      </c>
      <c r="K11" s="5">
        <f t="shared" si="1"/>
        <v>-2.8000000000000004E-3</v>
      </c>
      <c r="L11" s="5">
        <f t="shared" si="1"/>
        <v>-2.8500000000000005E-3</v>
      </c>
      <c r="M11" s="5">
        <f t="shared" si="1"/>
        <v>-2.9000000000000007E-3</v>
      </c>
      <c r="N11" s="5">
        <f t="shared" si="1"/>
        <v>-2.9500000000000008E-3</v>
      </c>
      <c r="O11" s="5">
        <f t="shared" si="1"/>
        <v>-3.0000000000000009E-3</v>
      </c>
    </row>
    <row r="12" spans="1:15" ht="16.5" x14ac:dyDescent="0.25">
      <c r="A12" s="129">
        <v>5.0000000000000001E-3</v>
      </c>
      <c r="B12" s="129"/>
      <c r="D12" s="125"/>
      <c r="E12" s="57">
        <f t="shared" si="0"/>
        <v>0.79572677835828187</v>
      </c>
      <c r="F12" s="7">
        <f>G13-$A$14</f>
        <v>-2E-3</v>
      </c>
      <c r="G12" s="5">
        <f>G13-$A$16</f>
        <v>-2.0500000000000002E-3</v>
      </c>
      <c r="H12" s="5">
        <f t="shared" si="1"/>
        <v>-2.1000000000000003E-3</v>
      </c>
      <c r="I12" s="5">
        <f t="shared" si="1"/>
        <v>-2.1500000000000004E-3</v>
      </c>
      <c r="J12" s="5">
        <f t="shared" si="1"/>
        <v>-2.2000000000000001E-3</v>
      </c>
      <c r="K12" s="5">
        <f t="shared" si="1"/>
        <v>-2.2500000000000003E-3</v>
      </c>
      <c r="L12" s="5">
        <f t="shared" si="1"/>
        <v>-2.3000000000000004E-3</v>
      </c>
      <c r="M12" s="5">
        <f t="shared" si="1"/>
        <v>-2.3500000000000005E-3</v>
      </c>
      <c r="N12" s="5">
        <f t="shared" si="1"/>
        <v>-2.4000000000000007E-3</v>
      </c>
      <c r="O12" s="5">
        <f t="shared" si="1"/>
        <v>-2.4500000000000008E-3</v>
      </c>
    </row>
    <row r="13" spans="1:15" ht="16.5" x14ac:dyDescent="0.25">
      <c r="A13" s="127" t="s">
        <v>20</v>
      </c>
      <c r="B13" s="127"/>
      <c r="D13" s="125"/>
      <c r="E13" s="57">
        <f t="shared" si="0"/>
        <v>0.8132425470391651</v>
      </c>
      <c r="F13" s="5">
        <f>F12+$A$18</f>
        <v>-1.5500000000000002E-3</v>
      </c>
      <c r="G13" s="7">
        <f>H14-$A$14</f>
        <v>-1.5E-3</v>
      </c>
      <c r="H13" s="5">
        <f>H14-$A$16</f>
        <v>-1.5500000000000002E-3</v>
      </c>
      <c r="I13" s="5">
        <f t="shared" si="1"/>
        <v>-1.6000000000000003E-3</v>
      </c>
      <c r="J13" s="5">
        <f t="shared" si="1"/>
        <v>-1.65E-3</v>
      </c>
      <c r="K13" s="5">
        <f t="shared" si="1"/>
        <v>-1.7000000000000001E-3</v>
      </c>
      <c r="L13" s="5">
        <f t="shared" si="1"/>
        <v>-1.7500000000000003E-3</v>
      </c>
      <c r="M13" s="5">
        <f t="shared" si="1"/>
        <v>-1.8000000000000004E-3</v>
      </c>
      <c r="N13" s="5">
        <f t="shared" si="1"/>
        <v>-1.8500000000000005E-3</v>
      </c>
      <c r="O13" s="5">
        <f t="shared" si="1"/>
        <v>-1.9000000000000006E-3</v>
      </c>
    </row>
    <row r="14" spans="1:15" ht="16.5" x14ac:dyDescent="0.25">
      <c r="A14" s="119">
        <v>5.0000000000000001E-4</v>
      </c>
      <c r="B14" s="119"/>
      <c r="D14" s="125"/>
      <c r="E14" s="57">
        <f t="shared" si="0"/>
        <v>0.83114387790147348</v>
      </c>
      <c r="F14" s="5">
        <f t="shared" ref="F14:O29" si="2">F13+$A$18</f>
        <v>-1.1000000000000003E-3</v>
      </c>
      <c r="G14" s="5">
        <f>G13+$A$18</f>
        <v>-1.0500000000000002E-3</v>
      </c>
      <c r="H14" s="7">
        <f>I15-$A$14</f>
        <v>-1E-3</v>
      </c>
      <c r="I14" s="5">
        <f>I15-$A$16</f>
        <v>-1.0500000000000002E-3</v>
      </c>
      <c r="J14" s="5">
        <f t="shared" si="1"/>
        <v>-1.1000000000000001E-3</v>
      </c>
      <c r="K14" s="5">
        <f t="shared" si="1"/>
        <v>-1.15E-3</v>
      </c>
      <c r="L14" s="5">
        <f t="shared" si="1"/>
        <v>-1.2000000000000001E-3</v>
      </c>
      <c r="M14" s="5">
        <f t="shared" si="1"/>
        <v>-1.2500000000000002E-3</v>
      </c>
      <c r="N14" s="5">
        <f t="shared" si="1"/>
        <v>-1.3000000000000004E-3</v>
      </c>
      <c r="O14" s="5">
        <f t="shared" si="1"/>
        <v>-1.3500000000000005E-3</v>
      </c>
    </row>
    <row r="15" spans="1:15" ht="16.5" x14ac:dyDescent="0.25">
      <c r="A15" s="130" t="s">
        <v>36</v>
      </c>
      <c r="B15" s="127"/>
      <c r="D15" s="125"/>
      <c r="E15" s="57">
        <f>E16/(($A$10/$A$8)^($A$12*100))</f>
        <v>0.84943925805179388</v>
      </c>
      <c r="F15" s="5">
        <f t="shared" si="2"/>
        <v>-6.500000000000003E-4</v>
      </c>
      <c r="G15" s="5">
        <f t="shared" si="2"/>
        <v>-6.0000000000000016E-4</v>
      </c>
      <c r="H15" s="5">
        <f>H14+$A$18</f>
        <v>-5.5000000000000003E-4</v>
      </c>
      <c r="I15" s="7">
        <f>J16-$A$14</f>
        <v>-5.0000000000000001E-4</v>
      </c>
      <c r="J15" s="5">
        <f>J16-$A$16</f>
        <v>-5.5000000000000003E-4</v>
      </c>
      <c r="K15" s="5">
        <f t="shared" si="1"/>
        <v>-6.0000000000000006E-4</v>
      </c>
      <c r="L15" s="5">
        <f t="shared" si="1"/>
        <v>-6.5000000000000008E-4</v>
      </c>
      <c r="M15" s="5">
        <f t="shared" si="1"/>
        <v>-7.000000000000001E-4</v>
      </c>
      <c r="N15" s="5">
        <f t="shared" si="1"/>
        <v>-7.5000000000000023E-4</v>
      </c>
      <c r="O15" s="5">
        <f t="shared" si="1"/>
        <v>-8.0000000000000036E-4</v>
      </c>
    </row>
    <row r="16" spans="1:15" ht="16.5" x14ac:dyDescent="0.25">
      <c r="A16" s="119">
        <v>5.5000000000000003E-4</v>
      </c>
      <c r="B16" s="119"/>
      <c r="D16" s="125"/>
      <c r="E16" s="72">
        <f>A10</f>
        <v>0.86813736141736531</v>
      </c>
      <c r="F16" s="5">
        <f t="shared" si="2"/>
        <v>-2.0000000000000031E-4</v>
      </c>
      <c r="G16" s="5">
        <f t="shared" si="2"/>
        <v>-1.5000000000000018E-4</v>
      </c>
      <c r="H16" s="5">
        <f t="shared" si="2"/>
        <v>-1.0000000000000005E-4</v>
      </c>
      <c r="I16" s="5">
        <f>I15+$A$18</f>
        <v>-5.0000000000000023E-5</v>
      </c>
      <c r="J16" s="8">
        <v>0</v>
      </c>
      <c r="K16" s="5">
        <f>K17-$A$16</f>
        <v>-5.0000000000000023E-5</v>
      </c>
      <c r="L16" s="5">
        <f t="shared" si="1"/>
        <v>-1.0000000000000005E-4</v>
      </c>
      <c r="M16" s="5">
        <f t="shared" si="1"/>
        <v>-1.5000000000000007E-4</v>
      </c>
      <c r="N16" s="5">
        <f t="shared" si="1"/>
        <v>-2.000000000000002E-4</v>
      </c>
      <c r="O16" s="5">
        <f t="shared" si="1"/>
        <v>-2.5000000000000033E-4</v>
      </c>
    </row>
    <row r="17" spans="1:15" ht="16.5" x14ac:dyDescent="0.25">
      <c r="A17" s="127" t="s">
        <v>21</v>
      </c>
      <c r="B17" s="127"/>
      <c r="D17" s="125"/>
      <c r="E17" s="57">
        <f>E16*(($A$10/$A$8)^($A$12*100))</f>
        <v>0.88724705285842953</v>
      </c>
      <c r="F17" s="5">
        <f t="shared" si="2"/>
        <v>2.4999999999999968E-4</v>
      </c>
      <c r="G17" s="5">
        <f t="shared" si="2"/>
        <v>2.9999999999999981E-4</v>
      </c>
      <c r="H17" s="5">
        <f t="shared" si="2"/>
        <v>3.4999999999999994E-4</v>
      </c>
      <c r="I17" s="5">
        <f t="shared" si="2"/>
        <v>3.9999999999999996E-4</v>
      </c>
      <c r="J17" s="5">
        <f>J16+$A$18</f>
        <v>4.4999999999999999E-4</v>
      </c>
      <c r="K17" s="7">
        <f>J16+$A$14</f>
        <v>5.0000000000000001E-4</v>
      </c>
      <c r="L17" s="5">
        <f>L18-$A$16</f>
        <v>4.4999999999999999E-4</v>
      </c>
      <c r="M17" s="5">
        <f t="shared" si="1"/>
        <v>3.9999999999999996E-4</v>
      </c>
      <c r="N17" s="5">
        <f t="shared" si="1"/>
        <v>3.4999999999999983E-4</v>
      </c>
      <c r="O17" s="5">
        <f t="shared" si="1"/>
        <v>2.999999999999997E-4</v>
      </c>
    </row>
    <row r="18" spans="1:15" ht="16.5" x14ac:dyDescent="0.25">
      <c r="A18" s="119">
        <v>4.4999999999999999E-4</v>
      </c>
      <c r="B18" s="119"/>
      <c r="D18" s="125"/>
      <c r="E18" s="57">
        <f t="shared" ref="E18:E29" si="3">E17*(($A$10/$A$8)^($A$12*100))</f>
        <v>0.90677739237110366</v>
      </c>
      <c r="F18" s="5">
        <f t="shared" si="2"/>
        <v>6.9999999999999967E-4</v>
      </c>
      <c r="G18" s="5">
        <f t="shared" si="2"/>
        <v>7.499999999999998E-4</v>
      </c>
      <c r="H18" s="5">
        <f t="shared" si="2"/>
        <v>7.9999999999999993E-4</v>
      </c>
      <c r="I18" s="5">
        <f t="shared" si="2"/>
        <v>8.4999999999999995E-4</v>
      </c>
      <c r="J18" s="5">
        <f>J17+$A$18</f>
        <v>8.9999999999999998E-4</v>
      </c>
      <c r="K18" s="5">
        <f>K17+$A$18</f>
        <v>9.5E-4</v>
      </c>
      <c r="L18" s="7">
        <f>K17+$A$14</f>
        <v>1E-3</v>
      </c>
      <c r="M18" s="5">
        <f>M19-$A$16</f>
        <v>9.5E-4</v>
      </c>
      <c r="N18" s="5">
        <f t="shared" si="1"/>
        <v>8.9999999999999987E-4</v>
      </c>
      <c r="O18" s="5">
        <f t="shared" si="1"/>
        <v>8.4999999999999974E-4</v>
      </c>
    </row>
    <row r="19" spans="1:15" x14ac:dyDescent="0.25">
      <c r="D19" s="125"/>
      <c r="E19" s="57">
        <f t="shared" si="3"/>
        <v>0.92673763938276743</v>
      </c>
      <c r="F19" s="5">
        <f t="shared" si="2"/>
        <v>1.1499999999999995E-3</v>
      </c>
      <c r="G19" s="5">
        <f t="shared" si="2"/>
        <v>1.1999999999999997E-3</v>
      </c>
      <c r="H19" s="5">
        <f t="shared" si="2"/>
        <v>1.2499999999999998E-3</v>
      </c>
      <c r="I19" s="5">
        <f t="shared" si="2"/>
        <v>1.2999999999999999E-3</v>
      </c>
      <c r="J19" s="5">
        <f t="shared" si="2"/>
        <v>1.3500000000000001E-3</v>
      </c>
      <c r="K19" s="5">
        <f t="shared" si="2"/>
        <v>1.4E-3</v>
      </c>
      <c r="L19" s="5">
        <f>L18+$A$18</f>
        <v>1.4499999999999999E-3</v>
      </c>
      <c r="M19" s="7">
        <f>L18+$A$14</f>
        <v>1.5E-3</v>
      </c>
      <c r="N19" s="5">
        <f>N20-$A$16</f>
        <v>1.4499999999999999E-3</v>
      </c>
      <c r="O19" s="5">
        <f t="shared" si="1"/>
        <v>1.3999999999999998E-3</v>
      </c>
    </row>
    <row r="20" spans="1:15" x14ac:dyDescent="0.25">
      <c r="D20" s="125"/>
      <c r="E20" s="57">
        <f t="shared" si="3"/>
        <v>0.94713725714200225</v>
      </c>
      <c r="F20" s="5">
        <f t="shared" si="2"/>
        <v>1.5999999999999994E-3</v>
      </c>
      <c r="G20" s="5">
        <f t="shared" si="2"/>
        <v>1.6499999999999996E-3</v>
      </c>
      <c r="H20" s="5">
        <f t="shared" si="2"/>
        <v>1.6999999999999997E-3</v>
      </c>
      <c r="I20" s="5">
        <f t="shared" si="2"/>
        <v>1.7499999999999998E-3</v>
      </c>
      <c r="J20" s="5">
        <f t="shared" si="2"/>
        <v>1.8E-3</v>
      </c>
      <c r="K20" s="5">
        <f t="shared" si="2"/>
        <v>1.8500000000000001E-3</v>
      </c>
      <c r="L20" s="5">
        <f t="shared" si="2"/>
        <v>1.8999999999999998E-3</v>
      </c>
      <c r="M20" s="5">
        <f>M19+$A$18</f>
        <v>1.9499999999999999E-3</v>
      </c>
      <c r="N20" s="7">
        <f>M19+$A$14</f>
        <v>2E-3</v>
      </c>
      <c r="O20" s="5">
        <f>O21-$A$16</f>
        <v>1.9499999999999999E-3</v>
      </c>
    </row>
    <row r="21" spans="1:15" ht="17.25" x14ac:dyDescent="0.3">
      <c r="A21" s="9"/>
      <c r="B21" s="9"/>
      <c r="D21" s="125"/>
      <c r="E21" s="57">
        <f t="shared" si="3"/>
        <v>0.96798591720516258</v>
      </c>
      <c r="F21" s="5">
        <f t="shared" si="2"/>
        <v>2.0499999999999993E-3</v>
      </c>
      <c r="G21" s="5">
        <f t="shared" si="2"/>
        <v>2.0999999999999994E-3</v>
      </c>
      <c r="H21" s="5">
        <f t="shared" si="2"/>
        <v>2.1499999999999996E-3</v>
      </c>
      <c r="I21" s="5">
        <f t="shared" si="2"/>
        <v>2.1999999999999997E-3</v>
      </c>
      <c r="J21" s="5">
        <f t="shared" si="2"/>
        <v>2.2499999999999998E-3</v>
      </c>
      <c r="K21" s="5">
        <f t="shared" si="2"/>
        <v>2.3E-3</v>
      </c>
      <c r="L21" s="5">
        <f t="shared" si="2"/>
        <v>2.3499999999999997E-3</v>
      </c>
      <c r="M21" s="5">
        <f t="shared" si="2"/>
        <v>2.3999999999999998E-3</v>
      </c>
      <c r="N21" s="5">
        <f>N20+$A$18</f>
        <v>2.4499999999999999E-3</v>
      </c>
      <c r="O21" s="7">
        <f>N20+$A$14</f>
        <v>2.5000000000000001E-3</v>
      </c>
    </row>
    <row r="22" spans="1:15" ht="17.25" x14ac:dyDescent="0.3">
      <c r="A22" s="9"/>
      <c r="B22" s="9"/>
      <c r="D22" s="125"/>
      <c r="E22" s="57">
        <f t="shared" si="3"/>
        <v>0.9892935040217069</v>
      </c>
      <c r="F22" s="5">
        <f t="shared" si="2"/>
        <v>2.4999999999999992E-3</v>
      </c>
      <c r="G22" s="5">
        <f t="shared" si="2"/>
        <v>2.5499999999999993E-3</v>
      </c>
      <c r="H22" s="5">
        <f t="shared" si="2"/>
        <v>2.5999999999999994E-3</v>
      </c>
      <c r="I22" s="5">
        <f t="shared" si="2"/>
        <v>2.6499999999999996E-3</v>
      </c>
      <c r="J22" s="5">
        <f t="shared" si="2"/>
        <v>2.6999999999999997E-3</v>
      </c>
      <c r="K22" s="5">
        <f t="shared" si="2"/>
        <v>2.7499999999999998E-3</v>
      </c>
      <c r="L22" s="5">
        <f t="shared" si="2"/>
        <v>2.7999999999999995E-3</v>
      </c>
      <c r="M22" s="5">
        <f t="shared" si="2"/>
        <v>2.8499999999999997E-3</v>
      </c>
      <c r="N22" s="5">
        <f t="shared" si="2"/>
        <v>2.8999999999999998E-3</v>
      </c>
      <c r="O22" s="5">
        <f>O21+$A$18</f>
        <v>2.9499999999999999E-3</v>
      </c>
    </row>
    <row r="23" spans="1:15" ht="17.25" x14ac:dyDescent="0.3">
      <c r="A23" s="9"/>
      <c r="B23" s="9"/>
      <c r="D23" s="125"/>
      <c r="E23" s="57">
        <f t="shared" si="3"/>
        <v>1.0110701196204628</v>
      </c>
      <c r="F23" s="5">
        <f t="shared" si="2"/>
        <v>2.9499999999999991E-3</v>
      </c>
      <c r="G23" s="5">
        <f t="shared" si="2"/>
        <v>2.9999999999999992E-3</v>
      </c>
      <c r="H23" s="5">
        <f t="shared" si="2"/>
        <v>3.0499999999999993E-3</v>
      </c>
      <c r="I23" s="5">
        <f t="shared" si="2"/>
        <v>3.0999999999999995E-3</v>
      </c>
      <c r="J23" s="5">
        <f t="shared" si="2"/>
        <v>3.1499999999999996E-3</v>
      </c>
      <c r="K23" s="5">
        <f t="shared" si="2"/>
        <v>3.1999999999999997E-3</v>
      </c>
      <c r="L23" s="5">
        <f t="shared" si="2"/>
        <v>3.2499999999999994E-3</v>
      </c>
      <c r="M23" s="5">
        <f t="shared" si="2"/>
        <v>3.2999999999999995E-3</v>
      </c>
      <c r="N23" s="5">
        <f t="shared" si="2"/>
        <v>3.3499999999999997E-3</v>
      </c>
      <c r="O23" s="5">
        <f t="shared" si="2"/>
        <v>3.3999999999999998E-3</v>
      </c>
    </row>
    <row r="24" spans="1:15" ht="17.25" x14ac:dyDescent="0.3">
      <c r="A24" s="9"/>
      <c r="B24" s="9"/>
      <c r="D24" s="125"/>
      <c r="E24" s="57">
        <f t="shared" si="3"/>
        <v>1.0333260883990465</v>
      </c>
      <c r="F24" s="5">
        <f t="shared" si="2"/>
        <v>3.3999999999999989E-3</v>
      </c>
      <c r="G24" s="5">
        <f t="shared" si="2"/>
        <v>3.4499999999999991E-3</v>
      </c>
      <c r="H24" s="5">
        <f t="shared" si="2"/>
        <v>3.4999999999999992E-3</v>
      </c>
      <c r="I24" s="5">
        <f t="shared" si="2"/>
        <v>3.5499999999999993E-3</v>
      </c>
      <c r="J24" s="5">
        <f t="shared" si="2"/>
        <v>3.5999999999999995E-3</v>
      </c>
      <c r="K24" s="5">
        <f t="shared" si="2"/>
        <v>3.6499999999999996E-3</v>
      </c>
      <c r="L24" s="5">
        <f t="shared" si="2"/>
        <v>3.6999999999999993E-3</v>
      </c>
      <c r="M24" s="5">
        <f t="shared" si="2"/>
        <v>3.7499999999999994E-3</v>
      </c>
      <c r="N24" s="5">
        <f t="shared" si="2"/>
        <v>3.7999999999999996E-3</v>
      </c>
      <c r="O24" s="5">
        <f t="shared" si="2"/>
        <v>3.8499999999999997E-3</v>
      </c>
    </row>
    <row r="25" spans="1:15" x14ac:dyDescent="0.25">
      <c r="D25" s="125"/>
      <c r="E25" s="57">
        <f t="shared" si="3"/>
        <v>1.0560719620187102</v>
      </c>
      <c r="F25" s="5">
        <f t="shared" si="2"/>
        <v>3.8499999999999988E-3</v>
      </c>
      <c r="G25" s="5">
        <f t="shared" si="2"/>
        <v>3.899999999999999E-3</v>
      </c>
      <c r="H25" s="5">
        <f t="shared" si="2"/>
        <v>3.9499999999999995E-3</v>
      </c>
      <c r="I25" s="5">
        <f t="shared" si="2"/>
        <v>3.9999999999999992E-3</v>
      </c>
      <c r="J25" s="5">
        <f t="shared" si="2"/>
        <v>4.0499999999999998E-3</v>
      </c>
      <c r="K25" s="5">
        <f t="shared" si="2"/>
        <v>4.0999999999999995E-3</v>
      </c>
      <c r="L25" s="5">
        <f t="shared" si="2"/>
        <v>4.1499999999999992E-3</v>
      </c>
      <c r="M25" s="5">
        <f t="shared" si="2"/>
        <v>4.1999999999999997E-3</v>
      </c>
      <c r="N25" s="5">
        <f t="shared" si="2"/>
        <v>4.2499999999999994E-3</v>
      </c>
      <c r="O25" s="5">
        <f t="shared" si="2"/>
        <v>4.3E-3</v>
      </c>
    </row>
    <row r="26" spans="1:15" x14ac:dyDescent="0.25">
      <c r="D26" s="125"/>
      <c r="E26" s="57">
        <f t="shared" si="3"/>
        <v>1.0793185244069341</v>
      </c>
      <c r="F26" s="5">
        <f t="shared" si="2"/>
        <v>4.2999999999999991E-3</v>
      </c>
      <c r="G26" s="5">
        <f t="shared" si="2"/>
        <v>4.3499999999999988E-3</v>
      </c>
      <c r="H26" s="5">
        <f t="shared" si="2"/>
        <v>4.3999999999999994E-3</v>
      </c>
      <c r="I26" s="5">
        <f t="shared" si="2"/>
        <v>4.4499999999999991E-3</v>
      </c>
      <c r="J26" s="5">
        <f t="shared" si="2"/>
        <v>4.4999999999999997E-3</v>
      </c>
      <c r="K26" s="5">
        <f t="shared" si="2"/>
        <v>4.5499999999999994E-3</v>
      </c>
      <c r="L26" s="5">
        <f t="shared" si="2"/>
        <v>4.5999999999999991E-3</v>
      </c>
      <c r="M26" s="5">
        <f t="shared" si="2"/>
        <v>4.6499999999999996E-3</v>
      </c>
      <c r="N26" s="5">
        <f t="shared" si="2"/>
        <v>4.6999999999999993E-3</v>
      </c>
      <c r="O26" s="5">
        <f t="shared" si="2"/>
        <v>4.7499999999999999E-3</v>
      </c>
    </row>
    <row r="27" spans="1:15" x14ac:dyDescent="0.25">
      <c r="D27" s="125"/>
      <c r="E27" s="57">
        <f t="shared" si="3"/>
        <v>1.1030767968701387</v>
      </c>
      <c r="F27" s="5">
        <f t="shared" si="2"/>
        <v>4.749999999999999E-3</v>
      </c>
      <c r="G27" s="5">
        <f t="shared" si="2"/>
        <v>4.7999999999999987E-3</v>
      </c>
      <c r="H27" s="5">
        <f t="shared" si="2"/>
        <v>4.8499999999999993E-3</v>
      </c>
      <c r="I27" s="5">
        <f t="shared" si="2"/>
        <v>4.899999999999999E-3</v>
      </c>
      <c r="J27" s="5">
        <f t="shared" si="2"/>
        <v>4.9499999999999995E-3</v>
      </c>
      <c r="K27" s="5">
        <f t="shared" si="2"/>
        <v>4.9999999999999992E-3</v>
      </c>
      <c r="L27" s="5">
        <f t="shared" si="2"/>
        <v>5.0499999999999989E-3</v>
      </c>
      <c r="M27" s="5">
        <f t="shared" si="2"/>
        <v>5.0999999999999995E-3</v>
      </c>
      <c r="N27" s="5">
        <f t="shared" si="2"/>
        <v>5.1499999999999992E-3</v>
      </c>
      <c r="O27" s="5">
        <f t="shared" si="2"/>
        <v>5.1999999999999998E-3</v>
      </c>
    </row>
    <row r="28" spans="1:15" x14ac:dyDescent="0.25">
      <c r="D28" s="125"/>
      <c r="E28" s="57">
        <f t="shared" si="3"/>
        <v>1.1273580433189385</v>
      </c>
      <c r="F28" s="5">
        <f t="shared" si="2"/>
        <v>5.1999999999999989E-3</v>
      </c>
      <c r="G28" s="5">
        <f t="shared" si="2"/>
        <v>5.2499999999999986E-3</v>
      </c>
      <c r="H28" s="5">
        <f t="shared" si="2"/>
        <v>5.2999999999999992E-3</v>
      </c>
      <c r="I28" s="5">
        <f t="shared" si="2"/>
        <v>5.3499999999999989E-3</v>
      </c>
      <c r="J28" s="5">
        <f t="shared" si="2"/>
        <v>5.3999999999999994E-3</v>
      </c>
      <c r="K28" s="5">
        <f t="shared" si="2"/>
        <v>5.4499999999999991E-3</v>
      </c>
      <c r="L28" s="5">
        <f t="shared" si="2"/>
        <v>5.4999999999999988E-3</v>
      </c>
      <c r="M28" s="5">
        <f t="shared" si="2"/>
        <v>5.5499999999999994E-3</v>
      </c>
      <c r="N28" s="5">
        <f t="shared" si="2"/>
        <v>5.5999999999999991E-3</v>
      </c>
      <c r="O28" s="5">
        <f t="shared" si="2"/>
        <v>5.6499999999999996E-3</v>
      </c>
    </row>
    <row r="29" spans="1:15" x14ac:dyDescent="0.25">
      <c r="D29" s="126"/>
      <c r="E29" s="57">
        <f t="shared" si="3"/>
        <v>1.1521737756084163</v>
      </c>
      <c r="F29" s="5">
        <f t="shared" si="2"/>
        <v>5.6499999999999988E-3</v>
      </c>
      <c r="G29" s="5">
        <f t="shared" si="2"/>
        <v>5.6999999999999985E-3</v>
      </c>
      <c r="H29" s="5">
        <f t="shared" si="2"/>
        <v>5.749999999999999E-3</v>
      </c>
      <c r="I29" s="5">
        <f t="shared" si="2"/>
        <v>5.7999999999999987E-3</v>
      </c>
      <c r="J29" s="5">
        <f t="shared" si="2"/>
        <v>5.8499999999999993E-3</v>
      </c>
      <c r="K29" s="5">
        <f t="shared" si="2"/>
        <v>5.899999999999999E-3</v>
      </c>
      <c r="L29" s="5">
        <f t="shared" si="2"/>
        <v>5.9499999999999987E-3</v>
      </c>
      <c r="M29" s="5">
        <f t="shared" si="2"/>
        <v>5.9999999999999993E-3</v>
      </c>
      <c r="N29" s="5">
        <f t="shared" si="2"/>
        <v>6.049999999999999E-3</v>
      </c>
      <c r="O29" s="6">
        <f t="shared" si="2"/>
        <v>6.0999999999999995E-3</v>
      </c>
    </row>
  </sheetData>
  <mergeCells count="16">
    <mergeCell ref="A18:B18"/>
    <mergeCell ref="F2:O2"/>
    <mergeCell ref="A4:B4"/>
    <mergeCell ref="D4:D29"/>
    <mergeCell ref="A5:B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conditionalFormatting sqref="J4:K15 I17:J29 I4:I14 I16 K16 K18:K29 L19:L29 F13:F29 G14:G29 H15:H29 M20:M29 N21:N29 O22:O29 H4:H13 O4:O20 M18 F4:G11 G12 L4:N17 N18:N1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17</vt:i4>
      </vt:variant>
    </vt:vector>
  </HeadingPairs>
  <TitlesOfParts>
    <vt:vector size="17" baseType="lpstr">
      <vt:lpstr>DADOS</vt:lpstr>
      <vt:lpstr>IN049</vt:lpstr>
      <vt:lpstr>IG02</vt:lpstr>
      <vt:lpstr>IN071</vt:lpstr>
      <vt:lpstr>IN073</vt:lpstr>
      <vt:lpstr>IN073 (ajustado)</vt:lpstr>
      <vt:lpstr>IN072</vt:lpstr>
      <vt:lpstr>IN074</vt:lpstr>
      <vt:lpstr>IN074 (ajustado)</vt:lpstr>
      <vt:lpstr>IN082</vt:lpstr>
      <vt:lpstr>IDS</vt:lpstr>
      <vt:lpstr> IDS (ajustado)</vt:lpstr>
      <vt:lpstr>Menu IG02</vt:lpstr>
      <vt:lpstr>Menu IN073</vt:lpstr>
      <vt:lpstr>Menu IN074</vt:lpstr>
      <vt:lpstr>Menu IN082</vt:lpstr>
      <vt:lpstr>Menu IDS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SANTANA MARINHO</dc:creator>
  <cp:lastModifiedBy>Karla Kristina Silva Cavalcante</cp:lastModifiedBy>
  <cp:lastPrinted>2022-02-22T20:06:57Z</cp:lastPrinted>
  <dcterms:created xsi:type="dcterms:W3CDTF">2022-02-21T14:13:11Z</dcterms:created>
  <dcterms:modified xsi:type="dcterms:W3CDTF">2022-12-12T15:21:32Z</dcterms:modified>
</cp:coreProperties>
</file>