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m794694\Desktop\"/>
    </mc:Choice>
  </mc:AlternateContent>
  <xr:revisionPtr revIDLastSave="0" documentId="8_{31758D31-D406-4CD5-8718-275D3E9820E3}" xr6:coauthVersionLast="47" xr6:coauthVersionMax="47" xr10:uidLastSave="{00000000-0000-0000-0000-000000000000}"/>
  <bookViews>
    <workbookView xWindow="-28920" yWindow="-75" windowWidth="29040" windowHeight="15840" tabRatio="812" activeTab="1" xr2:uid="{5C928FAC-AE49-412E-A296-324E40B00054}"/>
  </bookViews>
  <sheets>
    <sheet name="RESULTADO" sheetId="33" r:id="rId1"/>
    <sheet name="RESULTADO Após IPCA" sheetId="44" r:id="rId2"/>
    <sheet name="Fator X" sheetId="43" r:id="rId3"/>
    <sheet name="DE1 - Dados Oper. - Histórico" sheetId="41" r:id="rId4"/>
    <sheet name="DE2 - Nº Funcionários-Histórico" sheetId="2" r:id="rId5"/>
    <sheet name="DE3 - BP - Histórico" sheetId="3" r:id="rId6"/>
    <sheet name="DE4 - DRE - Histórico" sheetId="4" r:id="rId7"/>
    <sheet name="DE5 - DFC - Histórico" sheetId="5" r:id="rId8"/>
    <sheet name="DE6 - Deduções Receita Bruta" sheetId="36" r:id="rId9"/>
    <sheet name="DE7 - CAPEX" sheetId="6" r:id="rId10"/>
    <sheet name="DE8 - Outras Receitas" sheetId="34" r:id="rId11"/>
    <sheet name="DE9 - Tarifa Básica (CMF)" sheetId="35" r:id="rId12"/>
    <sheet name="IN - Indicadores" sheetId="7" r:id="rId13"/>
    <sheet name="P1 - Projeções Dados Oper." sheetId="8" r:id="rId14"/>
    <sheet name="P2 - Projeção OPEX" sheetId="9" r:id="rId15"/>
    <sheet name="P3 - WK - Capital de Giro" sheetId="28" r:id="rId16"/>
    <sheet name="P4 - Receitas Irrecuperáveis" sheetId="10" r:id="rId17"/>
    <sheet name="BAR0" sheetId="25" r:id="rId18"/>
    <sheet name="BARt" sheetId="27" r:id="rId19"/>
    <sheet name="Depreciação" sheetId="26" r:id="rId20"/>
    <sheet name="Fator X (componente T)" sheetId="30" r:id="rId21"/>
    <sheet name="WACC" sheetId="29" r:id="rId22"/>
    <sheet name="Comparativo OPEX Projetada" sheetId="45" r:id="rId23"/>
  </sheets>
  <externalReferences>
    <externalReference r:id="rId24"/>
  </externalReferences>
  <definedNames>
    <definedName name="_xlnm._FilterDatabase" localSheetId="9" hidden="1">'DE7 - CAPEX'!$A$25:$L$247</definedName>
    <definedName name="solver_adj" localSheetId="2" hidden="1">'Fator X'!$D$40,'Fator X'!$D$41</definedName>
    <definedName name="solver_adj" localSheetId="0" hidden="1">RESULTADO!$D$40,RESULTADO!$D$41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'Fator X'!$F$40</definedName>
    <definedName name="solver_lhs1" localSheetId="0" hidden="1">RESULTADO!$F$40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1</definedName>
    <definedName name="solver_num" localSheetId="0" hidden="1">1</definedName>
    <definedName name="solver_nwt" localSheetId="2" hidden="1">1</definedName>
    <definedName name="solver_nwt" localSheetId="0" hidden="1">1</definedName>
    <definedName name="solver_opt" localSheetId="2" hidden="1">'Fator X'!$C$35</definedName>
    <definedName name="solver_opt" localSheetId="0" hidden="1">RESULTADO!$C$35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2</definedName>
    <definedName name="solver_rel1" localSheetId="0" hidden="1">2</definedName>
    <definedName name="solver_rhs1" localSheetId="2" hidden="1">'Fator X'!$F$41</definedName>
    <definedName name="solver_rhs1" localSheetId="0" hidden="1">RESULTADO!$F$41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4" l="1"/>
  <c r="A21" i="44"/>
  <c r="A20" i="44"/>
  <c r="C13" i="44"/>
  <c r="C17" i="30"/>
  <c r="C36" i="26"/>
  <c r="C37" i="26" s="1"/>
  <c r="C35" i="26"/>
  <c r="K19" i="6"/>
  <c r="J19" i="6"/>
  <c r="I19" i="6"/>
  <c r="H19" i="6"/>
  <c r="K18" i="6"/>
  <c r="J18" i="6"/>
  <c r="I18" i="6"/>
  <c r="H18" i="6"/>
  <c r="H12" i="6"/>
  <c r="I12" i="6" s="1"/>
  <c r="J12" i="6" s="1"/>
  <c r="K12" i="6" s="1"/>
  <c r="D18" i="9" l="1"/>
  <c r="F8" i="10"/>
  <c r="E25" i="25"/>
  <c r="C20" i="45" l="1"/>
  <c r="D20" i="45" s="1"/>
  <c r="E20" i="45" s="1"/>
  <c r="C6" i="45"/>
  <c r="D6" i="45" s="1"/>
  <c r="E6" i="45" s="1"/>
  <c r="E15" i="45"/>
  <c r="B15" i="45" l="1"/>
  <c r="C15" i="45"/>
  <c r="D15" i="45"/>
  <c r="F23" i="41"/>
  <c r="G23" i="41"/>
  <c r="H23" i="41"/>
  <c r="E23" i="41"/>
  <c r="H16" i="25" l="1"/>
  <c r="C14" i="44"/>
  <c r="C12" i="44"/>
  <c r="C5" i="44"/>
  <c r="C6" i="44"/>
  <c r="C7" i="44"/>
  <c r="C8" i="44"/>
  <c r="C9" i="44"/>
  <c r="C10" i="44"/>
  <c r="C11" i="44"/>
  <c r="C4" i="44"/>
  <c r="B15" i="44" l="1"/>
  <c r="C15" i="44" s="1"/>
  <c r="E24" i="25" l="1"/>
  <c r="E23" i="25"/>
  <c r="C13" i="30"/>
  <c r="C10" i="43" l="1"/>
  <c r="G9" i="43"/>
  <c r="G14" i="43" s="1"/>
  <c r="F9" i="43"/>
  <c r="F14" i="43" s="1"/>
  <c r="E9" i="43"/>
  <c r="E14" i="43" s="1"/>
  <c r="D9" i="43"/>
  <c r="D14" i="43" s="1"/>
  <c r="C9" i="43"/>
  <c r="G8" i="43"/>
  <c r="G13" i="43" s="1"/>
  <c r="F8" i="43"/>
  <c r="F13" i="43" s="1"/>
  <c r="E8" i="43"/>
  <c r="E13" i="43" s="1"/>
  <c r="D8" i="43"/>
  <c r="D13" i="43" s="1"/>
  <c r="C8" i="43"/>
  <c r="G7" i="43"/>
  <c r="G12" i="43" s="1"/>
  <c r="F7" i="43"/>
  <c r="F12" i="43" s="1"/>
  <c r="E7" i="43"/>
  <c r="E12" i="43" s="1"/>
  <c r="D7" i="43"/>
  <c r="D12" i="43" s="1"/>
  <c r="C7" i="43"/>
  <c r="D5" i="43"/>
  <c r="E5" i="43" s="1"/>
  <c r="F5" i="43" s="1"/>
  <c r="G5" i="43" s="1"/>
  <c r="D9" i="33" l="1"/>
  <c r="D14" i="33" s="1"/>
  <c r="E9" i="33"/>
  <c r="E14" i="33" s="1"/>
  <c r="F9" i="33"/>
  <c r="F14" i="33" s="1"/>
  <c r="G9" i="33"/>
  <c r="G14" i="33" s="1"/>
  <c r="C9" i="33"/>
  <c r="H7" i="41" l="1"/>
  <c r="F7" i="41"/>
  <c r="E7" i="41"/>
  <c r="H19" i="41"/>
  <c r="G19" i="41"/>
  <c r="F19" i="41"/>
  <c r="E19" i="41"/>
  <c r="H22" i="41"/>
  <c r="F22" i="41"/>
  <c r="E22" i="41"/>
  <c r="B32" i="28" l="1"/>
  <c r="D21" i="8"/>
  <c r="E21" i="8" s="1"/>
  <c r="F21" i="8" s="1"/>
  <c r="G21" i="8" s="1"/>
  <c r="H21" i="8" s="1"/>
  <c r="D20" i="8"/>
  <c r="H18" i="8"/>
  <c r="G15" i="8"/>
  <c r="H10" i="8"/>
  <c r="G10" i="8"/>
  <c r="E10" i="8"/>
  <c r="H19" i="8"/>
  <c r="G10" i="43" s="1"/>
  <c r="G15" i="43" s="1"/>
  <c r="G19" i="8"/>
  <c r="F10" i="43" s="1"/>
  <c r="F15" i="43" s="1"/>
  <c r="F19" i="8"/>
  <c r="E10" i="43" s="1"/>
  <c r="E15" i="43" s="1"/>
  <c r="D19" i="8"/>
  <c r="D7" i="35"/>
  <c r="D20" i="7"/>
  <c r="D19" i="7"/>
  <c r="D18" i="7"/>
  <c r="C6" i="35"/>
  <c r="D13" i="7"/>
  <c r="D34" i="7"/>
  <c r="D33" i="7"/>
  <c r="D32" i="7"/>
  <c r="D31" i="7"/>
  <c r="D30" i="7"/>
  <c r="D29" i="7"/>
  <c r="D28" i="7"/>
  <c r="D27" i="7"/>
  <c r="D23" i="7"/>
  <c r="D22" i="7"/>
  <c r="D21" i="7"/>
  <c r="D18" i="8" l="1"/>
  <c r="D10" i="8"/>
  <c r="D15" i="8"/>
  <c r="H15" i="8"/>
  <c r="D6" i="35"/>
  <c r="C7" i="35"/>
  <c r="E19" i="8"/>
  <c r="D10" i="43" s="1"/>
  <c r="D15" i="43" s="1"/>
  <c r="F15" i="8"/>
  <c r="G18" i="8"/>
  <c r="F10" i="8"/>
  <c r="E15" i="8"/>
  <c r="F18" i="8"/>
  <c r="E18" i="8"/>
  <c r="L7" i="6"/>
  <c r="L6" i="6"/>
  <c r="J23" i="6"/>
  <c r="K23" i="6"/>
  <c r="L11" i="6"/>
  <c r="K8" i="6"/>
  <c r="J8" i="6"/>
  <c r="I8" i="6"/>
  <c r="H8" i="6"/>
  <c r="B25" i="28"/>
  <c r="K20" i="6" l="1"/>
  <c r="G25" i="43" s="1"/>
  <c r="G25" i="33"/>
  <c r="I20" i="6"/>
  <c r="J20" i="6"/>
  <c r="L19" i="6"/>
  <c r="H20" i="6"/>
  <c r="L18" i="6"/>
  <c r="L8" i="6"/>
  <c r="E7" i="27" l="1"/>
  <c r="G20" i="26"/>
  <c r="F25" i="43"/>
  <c r="F20" i="26"/>
  <c r="D7" i="27"/>
  <c r="F25" i="33"/>
  <c r="E25" i="43"/>
  <c r="C7" i="27"/>
  <c r="E20" i="26"/>
  <c r="E25" i="33"/>
  <c r="D25" i="43"/>
  <c r="B7" i="27"/>
  <c r="D20" i="26"/>
  <c r="D25" i="33"/>
  <c r="L20" i="6"/>
  <c r="E6" i="36" l="1"/>
  <c r="F6" i="36"/>
  <c r="G6" i="36"/>
  <c r="H6" i="36"/>
  <c r="D6" i="36"/>
  <c r="E5" i="36"/>
  <c r="F5" i="36"/>
  <c r="G5" i="36"/>
  <c r="G8" i="36" s="1"/>
  <c r="H5" i="36"/>
  <c r="D5" i="36"/>
  <c r="K8" i="36" s="1"/>
  <c r="D9" i="35"/>
  <c r="C9" i="35"/>
  <c r="C8" i="35"/>
  <c r="E5" i="34"/>
  <c r="F5" i="34"/>
  <c r="G5" i="34"/>
  <c r="H5" i="34"/>
  <c r="E6" i="34"/>
  <c r="F6" i="34"/>
  <c r="G6" i="34"/>
  <c r="H6" i="34"/>
  <c r="E7" i="34"/>
  <c r="F7" i="34"/>
  <c r="G7" i="34"/>
  <c r="H7" i="34"/>
  <c r="E8" i="34"/>
  <c r="F8" i="34"/>
  <c r="G8" i="34"/>
  <c r="H8" i="34"/>
  <c r="H10" i="34"/>
  <c r="E17" i="34"/>
  <c r="F17" i="34"/>
  <c r="G17" i="34"/>
  <c r="H17" i="34"/>
  <c r="D17" i="34"/>
  <c r="D18" i="34" s="1"/>
  <c r="D8" i="34"/>
  <c r="D6" i="34"/>
  <c r="D5" i="34"/>
  <c r="D16" i="43" l="1"/>
  <c r="D16" i="33"/>
  <c r="E16" i="33" s="1"/>
  <c r="F16" i="33" s="1"/>
  <c r="G16" i="33" s="1"/>
  <c r="D7" i="34"/>
  <c r="D10" i="34" s="1"/>
  <c r="F8" i="36"/>
  <c r="D8" i="35"/>
  <c r="D10" i="35" s="1"/>
  <c r="H8" i="36"/>
  <c r="E8" i="36"/>
  <c r="D9" i="36"/>
  <c r="K9" i="36"/>
  <c r="D8" i="36"/>
  <c r="E7" i="35"/>
  <c r="F10" i="34"/>
  <c r="E8" i="35"/>
  <c r="C10" i="35"/>
  <c r="C11" i="35" s="1"/>
  <c r="E6" i="35"/>
  <c r="E9" i="35"/>
  <c r="G10" i="34"/>
  <c r="E16" i="43" l="1"/>
  <c r="E19" i="43"/>
  <c r="F19" i="43"/>
  <c r="G19" i="43"/>
  <c r="D19" i="43"/>
  <c r="D11" i="34"/>
  <c r="E10" i="34"/>
  <c r="D11" i="35"/>
  <c r="E10" i="35"/>
  <c r="E17" i="43" l="1"/>
  <c r="E18" i="43" s="1"/>
  <c r="F17" i="43"/>
  <c r="G17" i="43"/>
  <c r="D17" i="43"/>
  <c r="F16" i="43"/>
  <c r="C7" i="28"/>
  <c r="D18" i="43" l="1"/>
  <c r="G16" i="43"/>
  <c r="G18" i="43" s="1"/>
  <c r="F18" i="43"/>
  <c r="F7" i="10"/>
  <c r="F6" i="10"/>
  <c r="D5" i="33"/>
  <c r="E5" i="33" s="1"/>
  <c r="F5" i="33" s="1"/>
  <c r="G5" i="33" s="1"/>
  <c r="D11" i="9"/>
  <c r="B41" i="28" s="1"/>
  <c r="B33" i="28"/>
  <c r="B31" i="28"/>
  <c r="B30" i="28"/>
  <c r="B29" i="28"/>
  <c r="B28" i="28"/>
  <c r="B27" i="28"/>
  <c r="B26" i="28"/>
  <c r="E18" i="25" l="1"/>
  <c r="E13" i="25"/>
  <c r="E22" i="43" l="1"/>
  <c r="F22" i="43"/>
  <c r="G22" i="43"/>
  <c r="D22" i="43"/>
  <c r="B24" i="29"/>
  <c r="B17" i="29"/>
  <c r="B8" i="29" l="1"/>
  <c r="B10" i="29"/>
  <c r="B16" i="29"/>
  <c r="B19" i="29" s="1"/>
  <c r="B20" i="29" s="1"/>
  <c r="B22" i="29" s="1"/>
  <c r="B12" i="29" l="1"/>
  <c r="B14" i="29" s="1"/>
  <c r="B27" i="29" s="1"/>
  <c r="C36" i="43" s="1"/>
  <c r="C13" i="43" l="1"/>
  <c r="C14" i="43"/>
  <c r="C12" i="43"/>
  <c r="C15" i="43"/>
  <c r="C25" i="43"/>
  <c r="C19" i="43"/>
  <c r="D47" i="43"/>
  <c r="C17" i="43"/>
  <c r="C18" i="43"/>
  <c r="C16" i="43"/>
  <c r="E47" i="43"/>
  <c r="C47" i="43"/>
  <c r="F47" i="43"/>
  <c r="C22" i="43"/>
  <c r="B28" i="29"/>
  <c r="C36" i="33"/>
  <c r="C10" i="28"/>
  <c r="D10" i="28" s="1"/>
  <c r="E10" i="28" s="1"/>
  <c r="F10" i="28" s="1"/>
  <c r="G10" i="28" s="1"/>
  <c r="C14" i="28"/>
  <c r="E4" i="28"/>
  <c r="F4" i="28" s="1"/>
  <c r="G4" i="28" s="1"/>
  <c r="H18" i="25"/>
  <c r="E22" i="25"/>
  <c r="C30" i="26" s="1"/>
  <c r="E21" i="25"/>
  <c r="H15" i="25" s="1"/>
  <c r="E20" i="25"/>
  <c r="F18" i="9"/>
  <c r="D8" i="9"/>
  <c r="B38" i="28" s="1"/>
  <c r="D10" i="9"/>
  <c r="B40" i="28" s="1"/>
  <c r="D12" i="9"/>
  <c r="B42" i="28" s="1"/>
  <c r="D9" i="9"/>
  <c r="B39" i="28" s="1"/>
  <c r="D7" i="9"/>
  <c r="B37" i="28" s="1"/>
  <c r="D6" i="9"/>
  <c r="B36" i="28" s="1"/>
  <c r="D5" i="9"/>
  <c r="B35" i="28" s="1"/>
  <c r="H8" i="25" l="1"/>
  <c r="H10" i="25" s="1"/>
  <c r="F30" i="26"/>
  <c r="D30" i="26"/>
  <c r="E30" i="26" s="1"/>
  <c r="C16" i="33"/>
  <c r="C9" i="28"/>
  <c r="H14" i="25"/>
  <c r="D19" i="9"/>
  <c r="F19" i="9" s="1"/>
  <c r="C15" i="28"/>
  <c r="C16" i="28"/>
  <c r="C13" i="28"/>
  <c r="D13" i="9"/>
  <c r="B34" i="28" s="1"/>
  <c r="H19" i="25" l="1"/>
  <c r="C13" i="26" s="1"/>
  <c r="D13" i="26" s="1"/>
  <c r="E13" i="26" s="1"/>
  <c r="G30" i="26"/>
  <c r="H30" i="26" s="1"/>
  <c r="C5" i="26" s="1"/>
  <c r="D5" i="26" s="1"/>
  <c r="C8" i="28"/>
  <c r="C6" i="28" s="1"/>
  <c r="C12" i="28"/>
  <c r="C8" i="26" l="1"/>
  <c r="D8" i="26" s="1"/>
  <c r="I30" i="26"/>
  <c r="D14" i="26"/>
  <c r="D15" i="26" s="1"/>
  <c r="F13" i="26"/>
  <c r="E14" i="26"/>
  <c r="C19" i="28"/>
  <c r="E26" i="25" s="1"/>
  <c r="E27" i="25" s="1"/>
  <c r="B5" i="27" l="1"/>
  <c r="C28" i="43"/>
  <c r="C31" i="43" s="1"/>
  <c r="C32" i="43" s="1"/>
  <c r="C28" i="33"/>
  <c r="C31" i="33" s="1"/>
  <c r="C32" i="33" s="1"/>
  <c r="G13" i="26"/>
  <c r="G14" i="26" s="1"/>
  <c r="F14" i="26"/>
  <c r="E15" i="26"/>
  <c r="F15" i="26" l="1"/>
  <c r="G15" i="26" s="1"/>
  <c r="F7" i="33" l="1"/>
  <c r="G7" i="33"/>
  <c r="D7" i="33"/>
  <c r="D10" i="33" l="1"/>
  <c r="D8" i="33"/>
  <c r="E10" i="33" l="1"/>
  <c r="E8" i="33"/>
  <c r="F8" i="33"/>
  <c r="D26" i="7"/>
  <c r="F10" i="33" l="1"/>
  <c r="G8" i="33"/>
  <c r="C8" i="33" l="1"/>
  <c r="G10" i="33"/>
  <c r="D24" i="7"/>
  <c r="E40" i="43" s="1"/>
  <c r="F40" i="43" s="1"/>
  <c r="D10" i="7" l="1"/>
  <c r="D8" i="7"/>
  <c r="H7" i="9" s="1"/>
  <c r="E23" i="45" s="1"/>
  <c r="C7" i="33"/>
  <c r="E40" i="33"/>
  <c r="E7" i="9" l="1"/>
  <c r="B23" i="45" s="1"/>
  <c r="C10" i="33"/>
  <c r="G7" i="9"/>
  <c r="D23" i="45" s="1"/>
  <c r="D9" i="7"/>
  <c r="D25" i="7"/>
  <c r="D11" i="7"/>
  <c r="D6" i="7"/>
  <c r="D12" i="7"/>
  <c r="D7" i="7"/>
  <c r="F7" i="9"/>
  <c r="C23" i="45" s="1"/>
  <c r="F40" i="33"/>
  <c r="B17" i="44" s="1"/>
  <c r="C17" i="44" s="1"/>
  <c r="B23" i="44" s="1"/>
  <c r="B20" i="44" s="1"/>
  <c r="G9" i="9"/>
  <c r="D25" i="45" s="1"/>
  <c r="E9" i="9"/>
  <c r="B25" i="45" s="1"/>
  <c r="H9" i="9"/>
  <c r="E25" i="45" s="1"/>
  <c r="F9" i="9"/>
  <c r="C25" i="45" s="1"/>
  <c r="D4" i="7"/>
  <c r="K248" i="6"/>
  <c r="J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I215" i="6"/>
  <c r="H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G177" i="6"/>
  <c r="I250" i="6" s="1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E41" i="33" l="1"/>
  <c r="E41" i="43"/>
  <c r="F41" i="43" s="1"/>
  <c r="E20" i="8"/>
  <c r="E5" i="9" s="1"/>
  <c r="F20" i="8"/>
  <c r="F5" i="9" s="1"/>
  <c r="G20" i="8"/>
  <c r="G5" i="9" s="1"/>
  <c r="H20" i="8"/>
  <c r="H5" i="9" s="1"/>
  <c r="D5" i="7"/>
  <c r="G12" i="33"/>
  <c r="D12" i="33"/>
  <c r="F12" i="33"/>
  <c r="D13" i="33"/>
  <c r="E13" i="33"/>
  <c r="F13" i="33"/>
  <c r="G13" i="33"/>
  <c r="F12" i="9"/>
  <c r="C28" i="45" s="1"/>
  <c r="E12" i="9"/>
  <c r="B28" i="45" s="1"/>
  <c r="G12" i="9"/>
  <c r="D28" i="45" s="1"/>
  <c r="H12" i="9"/>
  <c r="E28" i="45" s="1"/>
  <c r="E10" i="9"/>
  <c r="B26" i="45" s="1"/>
  <c r="H10" i="9"/>
  <c r="E26" i="45" s="1"/>
  <c r="G10" i="9"/>
  <c r="D26" i="45" s="1"/>
  <c r="F10" i="9"/>
  <c r="C26" i="45" s="1"/>
  <c r="F8" i="9"/>
  <c r="C24" i="45" s="1"/>
  <c r="E8" i="9"/>
  <c r="B24" i="45" s="1"/>
  <c r="H8" i="9"/>
  <c r="E24" i="45" s="1"/>
  <c r="G8" i="9"/>
  <c r="D24" i="45" s="1"/>
  <c r="H6" i="9"/>
  <c r="E22" i="45" s="1"/>
  <c r="G6" i="9"/>
  <c r="D22" i="45" s="1"/>
  <c r="F6" i="9"/>
  <c r="E6" i="9"/>
  <c r="H248" i="6"/>
  <c r="H23" i="6"/>
  <c r="I248" i="6"/>
  <c r="I23" i="6"/>
  <c r="J250" i="6"/>
  <c r="J251" i="6" s="1"/>
  <c r="L215" i="6"/>
  <c r="L248" i="6" s="1"/>
  <c r="D21" i="26"/>
  <c r="D22" i="26" s="1"/>
  <c r="D24" i="26" s="1"/>
  <c r="I251" i="6"/>
  <c r="K250" i="6"/>
  <c r="K251" i="6" s="1"/>
  <c r="H250" i="6"/>
  <c r="D14" i="28" l="1"/>
  <c r="B21" i="45"/>
  <c r="E14" i="28"/>
  <c r="C21" i="45"/>
  <c r="E9" i="28"/>
  <c r="C22" i="45"/>
  <c r="G14" i="28"/>
  <c r="E21" i="45"/>
  <c r="D9" i="28"/>
  <c r="B22" i="45"/>
  <c r="F14" i="28"/>
  <c r="D21" i="45"/>
  <c r="D21" i="43"/>
  <c r="B6" i="27"/>
  <c r="C14" i="33"/>
  <c r="C13" i="33"/>
  <c r="F17" i="33"/>
  <c r="D17" i="33"/>
  <c r="D15" i="33"/>
  <c r="E15" i="33"/>
  <c r="F15" i="33"/>
  <c r="F19" i="33" s="1"/>
  <c r="G15" i="33"/>
  <c r="G22" i="33" s="1"/>
  <c r="G17" i="33"/>
  <c r="F41" i="33"/>
  <c r="F9" i="28"/>
  <c r="G9" i="28"/>
  <c r="L250" i="6"/>
  <c r="C25" i="33"/>
  <c r="D21" i="33"/>
  <c r="E21" i="26"/>
  <c r="H251" i="6"/>
  <c r="L251" i="6" s="1"/>
  <c r="D27" i="43" l="1"/>
  <c r="G18" i="33"/>
  <c r="C15" i="33"/>
  <c r="F18" i="33"/>
  <c r="F22" i="33"/>
  <c r="D22" i="33"/>
  <c r="G19" i="33"/>
  <c r="D18" i="33"/>
  <c r="C48" i="43" s="1"/>
  <c r="D19" i="33"/>
  <c r="D27" i="33"/>
  <c r="F21" i="26"/>
  <c r="E22" i="26"/>
  <c r="E24" i="26" s="1"/>
  <c r="K21" i="5"/>
  <c r="J21" i="5"/>
  <c r="I21" i="5"/>
  <c r="H21" i="5"/>
  <c r="G21" i="5"/>
  <c r="F21" i="5"/>
  <c r="E21" i="5"/>
  <c r="K15" i="5"/>
  <c r="J15" i="5"/>
  <c r="I15" i="5"/>
  <c r="H15" i="5"/>
  <c r="G15" i="5"/>
  <c r="F15" i="5"/>
  <c r="E15" i="5"/>
  <c r="K8" i="5"/>
  <c r="K6" i="5" s="1"/>
  <c r="J8" i="5"/>
  <c r="J6" i="5" s="1"/>
  <c r="J33" i="5" s="1"/>
  <c r="I8" i="5"/>
  <c r="I6" i="5" s="1"/>
  <c r="I33" i="5" s="1"/>
  <c r="H8" i="5"/>
  <c r="G8" i="5"/>
  <c r="G6" i="5" s="1"/>
  <c r="F8" i="5"/>
  <c r="E8" i="5"/>
  <c r="E6" i="5" s="1"/>
  <c r="E33" i="5" s="1"/>
  <c r="E35" i="5" s="1"/>
  <c r="H6" i="5"/>
  <c r="F6" i="5"/>
  <c r="F33" i="5" s="1"/>
  <c r="F35" i="5" s="1"/>
  <c r="G34" i="5" s="1"/>
  <c r="H67" i="4"/>
  <c r="K66" i="4"/>
  <c r="J66" i="4"/>
  <c r="I66" i="4"/>
  <c r="H66" i="4"/>
  <c r="G66" i="4"/>
  <c r="F66" i="4"/>
  <c r="E66" i="4"/>
  <c r="K60" i="4"/>
  <c r="J60" i="4"/>
  <c r="I60" i="4"/>
  <c r="H60" i="4"/>
  <c r="G60" i="4"/>
  <c r="F60" i="4"/>
  <c r="E60" i="4"/>
  <c r="K48" i="4"/>
  <c r="J48" i="4"/>
  <c r="I48" i="4"/>
  <c r="H48" i="4"/>
  <c r="G48" i="4"/>
  <c r="F48" i="4"/>
  <c r="E48" i="4"/>
  <c r="K36" i="4"/>
  <c r="J36" i="4"/>
  <c r="I36" i="4"/>
  <c r="H36" i="4"/>
  <c r="G36" i="4"/>
  <c r="F36" i="4"/>
  <c r="E36" i="4"/>
  <c r="K28" i="4"/>
  <c r="J28" i="4"/>
  <c r="I28" i="4"/>
  <c r="H28" i="4"/>
  <c r="G28" i="4"/>
  <c r="F28" i="4"/>
  <c r="E28" i="4"/>
  <c r="K18" i="4"/>
  <c r="J18" i="4"/>
  <c r="I18" i="4"/>
  <c r="H18" i="4"/>
  <c r="G18" i="4"/>
  <c r="F18" i="4"/>
  <c r="E18" i="4"/>
  <c r="F14" i="4"/>
  <c r="F17" i="4" s="1"/>
  <c r="F25" i="4" s="1"/>
  <c r="I12" i="4"/>
  <c r="E12" i="4"/>
  <c r="K6" i="4"/>
  <c r="K12" i="4" s="1"/>
  <c r="J6" i="4"/>
  <c r="J12" i="4" s="1"/>
  <c r="I6" i="4"/>
  <c r="I14" i="4" s="1"/>
  <c r="I17" i="4" s="1"/>
  <c r="I25" i="4" s="1"/>
  <c r="H6" i="4"/>
  <c r="H12" i="4" s="1"/>
  <c r="G6" i="4"/>
  <c r="G12" i="4" s="1"/>
  <c r="F6" i="4"/>
  <c r="F12" i="4" s="1"/>
  <c r="E6" i="4"/>
  <c r="E14" i="4" s="1"/>
  <c r="E17" i="4" s="1"/>
  <c r="E25" i="4" s="1"/>
  <c r="I68" i="3"/>
  <c r="H68" i="3"/>
  <c r="G68" i="3"/>
  <c r="F68" i="3"/>
  <c r="E68" i="3"/>
  <c r="D68" i="3"/>
  <c r="C68" i="3"/>
  <c r="I53" i="3"/>
  <c r="H53" i="3"/>
  <c r="G53" i="3"/>
  <c r="F53" i="3"/>
  <c r="E53" i="3"/>
  <c r="D53" i="3"/>
  <c r="C53" i="3"/>
  <c r="I36" i="3"/>
  <c r="I78" i="3" s="1"/>
  <c r="H36" i="3"/>
  <c r="G36" i="3"/>
  <c r="F36" i="3"/>
  <c r="F78" i="3" s="1"/>
  <c r="E36" i="3"/>
  <c r="E78" i="3" s="1"/>
  <c r="D36" i="3"/>
  <c r="C36" i="3"/>
  <c r="C78" i="3" s="1"/>
  <c r="G32" i="3"/>
  <c r="G27" i="3" s="1"/>
  <c r="I27" i="3"/>
  <c r="H27" i="3"/>
  <c r="F27" i="3"/>
  <c r="F16" i="3" s="1"/>
  <c r="E27" i="3"/>
  <c r="D27" i="3"/>
  <c r="D16" i="3" s="1"/>
  <c r="C27" i="3"/>
  <c r="I17" i="3"/>
  <c r="H17" i="3"/>
  <c r="G17" i="3"/>
  <c r="G16" i="3" s="1"/>
  <c r="F17" i="3"/>
  <c r="E17" i="3"/>
  <c r="E16" i="3" s="1"/>
  <c r="D17" i="3"/>
  <c r="C17" i="3"/>
  <c r="C16" i="3" s="1"/>
  <c r="H16" i="3"/>
  <c r="I6" i="3"/>
  <c r="H6" i="3"/>
  <c r="H34" i="3" s="1"/>
  <c r="G6" i="3"/>
  <c r="F6" i="3"/>
  <c r="E6" i="3"/>
  <c r="D6" i="3"/>
  <c r="C6" i="3"/>
  <c r="E11" i="9" l="1"/>
  <c r="B27" i="45" s="1"/>
  <c r="H11" i="9"/>
  <c r="F48" i="43"/>
  <c r="G11" i="9"/>
  <c r="E48" i="43"/>
  <c r="E21" i="43"/>
  <c r="E27" i="43" s="1"/>
  <c r="C6" i="27"/>
  <c r="G8" i="28"/>
  <c r="F8" i="28"/>
  <c r="D8" i="28"/>
  <c r="E21" i="33"/>
  <c r="F22" i="26"/>
  <c r="F24" i="26" s="1"/>
  <c r="G21" i="26"/>
  <c r="G22" i="26" s="1"/>
  <c r="G24" i="26" s="1"/>
  <c r="H33" i="5"/>
  <c r="H35" i="5" s="1"/>
  <c r="I34" i="5" s="1"/>
  <c r="I35" i="5" s="1"/>
  <c r="J34" i="5" s="1"/>
  <c r="J35" i="5" s="1"/>
  <c r="K34" i="5" s="1"/>
  <c r="K35" i="5" s="1"/>
  <c r="G33" i="5"/>
  <c r="K33" i="5"/>
  <c r="G35" i="5"/>
  <c r="H34" i="5" s="1"/>
  <c r="G14" i="4"/>
  <c r="G17" i="4" s="1"/>
  <c r="G25" i="4" s="1"/>
  <c r="J14" i="4"/>
  <c r="J17" i="4" s="1"/>
  <c r="J25" i="4" s="1"/>
  <c r="J52" i="4" s="1"/>
  <c r="K14" i="4"/>
  <c r="K17" i="4" s="1"/>
  <c r="K25" i="4" s="1"/>
  <c r="K64" i="4" s="1"/>
  <c r="K68" i="4" s="1"/>
  <c r="J64" i="4"/>
  <c r="J68" i="4" s="1"/>
  <c r="F64" i="4"/>
  <c r="F68" i="4" s="1"/>
  <c r="F26" i="4"/>
  <c r="F52" i="4"/>
  <c r="K26" i="4"/>
  <c r="K52" i="4"/>
  <c r="E52" i="4"/>
  <c r="E26" i="4"/>
  <c r="E64" i="4"/>
  <c r="E68" i="4" s="1"/>
  <c r="I52" i="4"/>
  <c r="I26" i="4"/>
  <c r="I64" i="4"/>
  <c r="I68" i="4" s="1"/>
  <c r="G52" i="4"/>
  <c r="G64" i="4"/>
  <c r="G68" i="4" s="1"/>
  <c r="G26" i="4"/>
  <c r="H14" i="4"/>
  <c r="H17" i="4" s="1"/>
  <c r="H25" i="4" s="1"/>
  <c r="D34" i="3"/>
  <c r="I16" i="3"/>
  <c r="F34" i="3"/>
  <c r="G78" i="3"/>
  <c r="C34" i="3"/>
  <c r="G34" i="3"/>
  <c r="D78" i="3"/>
  <c r="H78" i="3"/>
  <c r="E34" i="3"/>
  <c r="I34" i="3"/>
  <c r="E13" i="9" l="1"/>
  <c r="B29" i="45" s="1"/>
  <c r="H13" i="9"/>
  <c r="E27" i="45"/>
  <c r="G13" i="9"/>
  <c r="D27" i="45"/>
  <c r="G13" i="28"/>
  <c r="G21" i="43"/>
  <c r="G27" i="43" s="1"/>
  <c r="E6" i="27"/>
  <c r="F21" i="43"/>
  <c r="D6" i="27"/>
  <c r="F21" i="33"/>
  <c r="E27" i="33"/>
  <c r="G21" i="33"/>
  <c r="J26" i="4"/>
  <c r="E53" i="4"/>
  <c r="E57" i="4"/>
  <c r="E58" i="4" s="1"/>
  <c r="K57" i="4"/>
  <c r="K58" i="4" s="1"/>
  <c r="K53" i="4"/>
  <c r="J53" i="4"/>
  <c r="J57" i="4"/>
  <c r="J58" i="4" s="1"/>
  <c r="H52" i="4"/>
  <c r="H26" i="4"/>
  <c r="H64" i="4"/>
  <c r="H68" i="4" s="1"/>
  <c r="I57" i="4"/>
  <c r="I58" i="4" s="1"/>
  <c r="I53" i="4"/>
  <c r="G57" i="4"/>
  <c r="G58" i="4" s="1"/>
  <c r="G53" i="4"/>
  <c r="F53" i="4"/>
  <c r="F57" i="4"/>
  <c r="F58" i="4" s="1"/>
  <c r="G7" i="2"/>
  <c r="F7" i="2"/>
  <c r="E7" i="2"/>
  <c r="D7" i="2"/>
  <c r="C7" i="2"/>
  <c r="B7" i="2"/>
  <c r="F15" i="28" l="1"/>
  <c r="G7" i="28"/>
  <c r="G6" i="28" s="1"/>
  <c r="D13" i="28"/>
  <c r="D20" i="33"/>
  <c r="D23" i="33" s="1"/>
  <c r="D24" i="33" s="1"/>
  <c r="D20" i="43"/>
  <c r="D23" i="43" s="1"/>
  <c r="D24" i="43" s="1"/>
  <c r="D16" i="28"/>
  <c r="D15" i="28"/>
  <c r="G15" i="28"/>
  <c r="G20" i="33"/>
  <c r="G23" i="33" s="1"/>
  <c r="G24" i="33" s="1"/>
  <c r="D7" i="28"/>
  <c r="D6" i="28" s="1"/>
  <c r="F13" i="28"/>
  <c r="F20" i="33"/>
  <c r="D29" i="45"/>
  <c r="F16" i="28"/>
  <c r="F7" i="28"/>
  <c r="F6" i="28" s="1"/>
  <c r="G16" i="28"/>
  <c r="G12" i="28" s="1"/>
  <c r="E29" i="45"/>
  <c r="C21" i="43"/>
  <c r="F27" i="43"/>
  <c r="C27" i="43" s="1"/>
  <c r="C21" i="33"/>
  <c r="G27" i="33"/>
  <c r="F27" i="33"/>
  <c r="H53" i="4"/>
  <c r="H57" i="4"/>
  <c r="H58" i="4" s="1"/>
  <c r="G19" i="28" l="1"/>
  <c r="D12" i="28"/>
  <c r="D19" i="28" s="1"/>
  <c r="D20" i="28" s="1"/>
  <c r="D26" i="43" s="1"/>
  <c r="D31" i="43" s="1"/>
  <c r="D32" i="43" s="1"/>
  <c r="F12" i="28"/>
  <c r="F19" i="28" s="1"/>
  <c r="G20" i="28" s="1"/>
  <c r="G26" i="43" s="1"/>
  <c r="E7" i="33"/>
  <c r="E12" i="33" s="1"/>
  <c r="C12" i="33" s="1"/>
  <c r="C27" i="33"/>
  <c r="B8" i="27" l="1"/>
  <c r="B9" i="27" s="1"/>
  <c r="C5" i="27" s="1"/>
  <c r="D26" i="33"/>
  <c r="D31" i="33" s="1"/>
  <c r="D32" i="33" s="1"/>
  <c r="E8" i="27"/>
  <c r="G26" i="33"/>
  <c r="E22" i="33"/>
  <c r="C22" i="33" s="1"/>
  <c r="E17" i="33"/>
  <c r="E19" i="33"/>
  <c r="C19" i="33" s="1"/>
  <c r="E18" i="33" l="1"/>
  <c r="D48" i="43" s="1"/>
  <c r="C49" i="43" s="1"/>
  <c r="C17" i="33"/>
  <c r="F11" i="9" l="1"/>
  <c r="E8" i="28"/>
  <c r="C18" i="33"/>
  <c r="C7" i="30"/>
  <c r="F13" i="9" l="1"/>
  <c r="C27" i="45"/>
  <c r="F23" i="33"/>
  <c r="E7" i="28" l="1"/>
  <c r="E6" i="28" s="1"/>
  <c r="E20" i="33"/>
  <c r="E23" i="33" s="1"/>
  <c r="E24" i="33" s="1"/>
  <c r="E15" i="28"/>
  <c r="E16" i="28"/>
  <c r="E13" i="28"/>
  <c r="C6" i="30"/>
  <c r="C9" i="30" s="1"/>
  <c r="G2" i="43" s="1"/>
  <c r="C29" i="45"/>
  <c r="F24" i="33"/>
  <c r="F20" i="43" l="1"/>
  <c r="F23" i="43" s="1"/>
  <c r="F24" i="43" s="1"/>
  <c r="G20" i="43"/>
  <c r="G23" i="43" s="1"/>
  <c r="G24" i="43" s="1"/>
  <c r="E20" i="43"/>
  <c r="E23" i="43" s="1"/>
  <c r="C24" i="33"/>
  <c r="C20" i="33"/>
  <c r="C23" i="33"/>
  <c r="E12" i="28"/>
  <c r="E19" i="28" s="1"/>
  <c r="E20" i="28" s="1"/>
  <c r="E26" i="43" s="1"/>
  <c r="C20" i="43"/>
  <c r="E26" i="33" l="1"/>
  <c r="E31" i="33" s="1"/>
  <c r="E32" i="33" s="1"/>
  <c r="C8" i="27"/>
  <c r="C9" i="27" s="1"/>
  <c r="D5" i="27" s="1"/>
  <c r="F20" i="28"/>
  <c r="F26" i="43" s="1"/>
  <c r="C26" i="43" s="1"/>
  <c r="E24" i="43"/>
  <c r="C23" i="43"/>
  <c r="F31" i="43" l="1"/>
  <c r="F32" i="43" s="1"/>
  <c r="D8" i="27"/>
  <c r="D9" i="27" s="1"/>
  <c r="E5" i="27" s="1"/>
  <c r="E9" i="27" s="1"/>
  <c r="G29" i="43" s="1"/>
  <c r="C29" i="43" s="1"/>
  <c r="F26" i="33"/>
  <c r="F31" i="33" s="1"/>
  <c r="F32" i="33" s="1"/>
  <c r="E31" i="43"/>
  <c r="E32" i="43" s="1"/>
  <c r="C24" i="43"/>
  <c r="G29" i="33" l="1"/>
  <c r="G31" i="33" s="1"/>
  <c r="G32" i="33" s="1"/>
  <c r="C35" i="33" s="1"/>
  <c r="C26" i="33"/>
  <c r="G31" i="43"/>
  <c r="G32" i="43" s="1"/>
  <c r="C35" i="43" s="1"/>
  <c r="C29" i="33" l="1"/>
</calcChain>
</file>

<file path=xl/sharedStrings.xml><?xml version="1.0" encoding="utf-8"?>
<sst xmlns="http://schemas.openxmlformats.org/spreadsheetml/2006/main" count="1832" uniqueCount="741">
  <si>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</si>
  <si>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</si>
  <si>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</si>
  <si>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</si>
  <si>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</si>
  <si>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</si>
  <si>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</si>
  <si>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</si>
  <si>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</si>
  <si>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</si>
  <si>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</si>
  <si>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</si>
  <si>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</si>
  <si>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</si>
  <si>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</si>
  <si>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</si>
  <si>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</si>
  <si>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</si>
  <si>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</si>
  <si>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</si>
  <si>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</si>
  <si>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</si>
  <si>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</si>
  <si>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</si>
  <si>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</si>
  <si>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</si>
  <si>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</si>
  <si>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Obs: Dado anual = Fechamento em Dezembro / Boletim Informativo (BI)</t>
  </si>
  <si>
    <t>EVOLUÇÃO - FORÇA DE TRABALHO SANEAGO 2016 - 2020</t>
  </si>
  <si>
    <t>Categoria</t>
  </si>
  <si>
    <t>Operacional</t>
  </si>
  <si>
    <t>Administrativo</t>
  </si>
  <si>
    <t>Total</t>
  </si>
  <si>
    <t>Fonte: Boletim Informativo 2016 a 2020</t>
  </si>
  <si>
    <t>BALANÇO PATRIMONIAL</t>
  </si>
  <si>
    <t>DESCRIÇÃO</t>
  </si>
  <si>
    <t>CIRCULANTE</t>
  </si>
  <si>
    <t>Caixa e Equivalentes</t>
  </si>
  <si>
    <t>Contas a receber de usuários</t>
  </si>
  <si>
    <t>Estoques</t>
  </si>
  <si>
    <t>Tributos a recuperar</t>
  </si>
  <si>
    <t>Títulos e valores mobiliários</t>
  </si>
  <si>
    <t>Despesas antecipadas e adiantamentos</t>
  </si>
  <si>
    <t>Subdelegação</t>
  </si>
  <si>
    <t>Outras Contas a Receber</t>
  </si>
  <si>
    <t>NÃO CIRCULANTE</t>
  </si>
  <si>
    <t>Realizável a Longo Prazo</t>
  </si>
  <si>
    <t>Outras contas a receber</t>
  </si>
  <si>
    <t>Depósitos Judiciais</t>
  </si>
  <si>
    <t>Tributos diferidos ativos</t>
  </si>
  <si>
    <t>Despesas antecipadas</t>
  </si>
  <si>
    <t>Ativo financeiro (Contratos de Concessão)</t>
  </si>
  <si>
    <t>Imobilizado, intangível e Obras</t>
  </si>
  <si>
    <t>Investimentos</t>
  </si>
  <si>
    <t>Imobilizado</t>
  </si>
  <si>
    <t>Intangível</t>
  </si>
  <si>
    <t>Obras em Andamento não Reversível</t>
  </si>
  <si>
    <t>Ativo de Contrato</t>
  </si>
  <si>
    <t>Total do Ativo</t>
  </si>
  <si>
    <t>Empréstimos e financiamentos</t>
  </si>
  <si>
    <t>Fornecedores</t>
  </si>
  <si>
    <t>Arrendamento Mercantil</t>
  </si>
  <si>
    <t>Consórcios</t>
  </si>
  <si>
    <t>Obrigações trabalhistas</t>
  </si>
  <si>
    <t>Obrigações tributárias e outras</t>
  </si>
  <si>
    <t>Parcelamentos</t>
  </si>
  <si>
    <t>Obrigações Contratuais</t>
  </si>
  <si>
    <t>Concessões de prefeituras</t>
  </si>
  <si>
    <t>Programa de desligamento incentivado (PDI)</t>
  </si>
  <si>
    <t>Dividendos e juros sob capital própio</t>
  </si>
  <si>
    <t>Adiantamento contratual</t>
  </si>
  <si>
    <t>Debêntures</t>
  </si>
  <si>
    <t>Outras contas a pagar</t>
  </si>
  <si>
    <t>Provisão para demandas judiciais</t>
  </si>
  <si>
    <t>Subvenções PAC</t>
  </si>
  <si>
    <t>Obrigações tributárias</t>
  </si>
  <si>
    <t>Obrigações Atuariais</t>
  </si>
  <si>
    <t>Tributos fiscais diferidos</t>
  </si>
  <si>
    <t>PATRIMÔNIO LÍQUIDO</t>
  </si>
  <si>
    <t>Capital social</t>
  </si>
  <si>
    <t>Reserva de Capital</t>
  </si>
  <si>
    <t>Reserva de Lucros</t>
  </si>
  <si>
    <t>Reserva legal</t>
  </si>
  <si>
    <t>Ajuste de avaliação patrimonial</t>
  </si>
  <si>
    <t>Outros Resultados Abrangentes</t>
  </si>
  <si>
    <t>Reservas para Investimentos</t>
  </si>
  <si>
    <t>Prejuízos Acumulados</t>
  </si>
  <si>
    <t>Total do Passivo</t>
  </si>
  <si>
    <t>Fonte: Demonstrações Financeiras Saneago / 2016 a 2020.</t>
  </si>
  <si>
    <t>https://ri.saneago.com.br/</t>
  </si>
  <si>
    <t>https://cvmweb.cvm.gov.br/SWB/Sistemas/SCW/CPublica/CiaAb/FormBuscaCiaAb.aspx?TipoConsult=c</t>
  </si>
  <si>
    <t>DEMONSTRAÇÃO DO RESULTADO</t>
  </si>
  <si>
    <t>Receita Bruta</t>
  </si>
  <si>
    <t>Água</t>
  </si>
  <si>
    <t>Esgoto</t>
  </si>
  <si>
    <t>Custo Mínimo Fixo</t>
  </si>
  <si>
    <t>Receita a Faturar de Água/Esgoto</t>
  </si>
  <si>
    <t>Deduções da receita bruta (R$)</t>
  </si>
  <si>
    <t>Deduções da receita bruta (%)</t>
  </si>
  <si>
    <t>Receita líquida de Água e Esgoto</t>
  </si>
  <si>
    <t>Receita Serviços Técnicos</t>
  </si>
  <si>
    <t>Receita de Outorgas</t>
  </si>
  <si>
    <t>Receita líquida</t>
  </si>
  <si>
    <t>Custos</t>
  </si>
  <si>
    <t>Pessoal</t>
  </si>
  <si>
    <t>Materiais de Tratamento</t>
  </si>
  <si>
    <t>Energia Elétrica</t>
  </si>
  <si>
    <t>Serviços de Terceiros</t>
  </si>
  <si>
    <t>Gerais</t>
  </si>
  <si>
    <t>Lucro Bruto</t>
  </si>
  <si>
    <t>Margem Bruta</t>
  </si>
  <si>
    <t>Despesas comerciais</t>
  </si>
  <si>
    <t>Materiais Gerais</t>
  </si>
  <si>
    <t>Remuneração de Concessão</t>
  </si>
  <si>
    <t>Despesas administrativas</t>
  </si>
  <si>
    <t>Outras receitas/despesas operacionais</t>
  </si>
  <si>
    <t>Despesas Tributárias</t>
  </si>
  <si>
    <t>Provisões e Reversões</t>
  </si>
  <si>
    <t>Provisões e Reversões - PDD</t>
  </si>
  <si>
    <t>Provisões e Reversões - Contigências e Outros</t>
  </si>
  <si>
    <t>EBITDA</t>
  </si>
  <si>
    <t>Margem EBITDA</t>
  </si>
  <si>
    <t>Depreciações e Amortizações</t>
  </si>
  <si>
    <t>EBIT</t>
  </si>
  <si>
    <t>Margem EBIT</t>
  </si>
  <si>
    <t>Resultado Financeiro Liquido</t>
  </si>
  <si>
    <t>Despesa Financeira</t>
  </si>
  <si>
    <t>Receita Financeira</t>
  </si>
  <si>
    <t>Lucro Antes dos IRPJ</t>
  </si>
  <si>
    <t>IRPJ</t>
  </si>
  <si>
    <t>IR &amp; CSLL</t>
  </si>
  <si>
    <t>Resultado líquido</t>
  </si>
  <si>
    <t>Fonte: Demonstrações Financeiras e Relatório de Administração da Saneago / 2016 a 2020.</t>
  </si>
  <si>
    <t>DEMONSTRATIVO DE FLUXO DE CAIXA</t>
  </si>
  <si>
    <t>Caixa Líquido Gerado nas Atividades Operacionais</t>
  </si>
  <si>
    <t>Caixa Gerado nas Operações</t>
  </si>
  <si>
    <t>Lucro Líquido do Exercício</t>
  </si>
  <si>
    <t>Ajustes para conciliação do Lucro Líquido</t>
  </si>
  <si>
    <t>Variações nos Ativos e Passivos</t>
  </si>
  <si>
    <t>Outros</t>
  </si>
  <si>
    <t>Caixa Líquido Consumido nas Atividades de Investimento</t>
  </si>
  <si>
    <t>Aquisição de Imobilizado</t>
  </si>
  <si>
    <t>Aquisição de Intangível</t>
  </si>
  <si>
    <t>Títulos e Valores Mobiliários</t>
  </si>
  <si>
    <t>Caixa Líquido Gerado/(consumido) nas Atividades de Financiamento</t>
  </si>
  <si>
    <t>Integralização de Capital</t>
  </si>
  <si>
    <t>Financiamentos/Empréstimos Captados</t>
  </si>
  <si>
    <t>Amortização de Empréstimo e Financiamento</t>
  </si>
  <si>
    <t>Pagamentos de Encargos Financeiros sobre Captação de Recurso</t>
  </si>
  <si>
    <t>Títulos e Valores Mobiliários - FDIC</t>
  </si>
  <si>
    <t>Títulos e Valores Mobiliários - FDIC - Resgate</t>
  </si>
  <si>
    <t>Dividendos</t>
  </si>
  <si>
    <t>Subvenções</t>
  </si>
  <si>
    <t>Devolução de Recursos para a União</t>
  </si>
  <si>
    <t>Aumento/(Redução) Líquido de Caixa e Equivalentes de Caixa</t>
  </si>
  <si>
    <t>Saldo Inicial de Caixa e Equivalentes</t>
  </si>
  <si>
    <t>Saldo Final de Caixa e Equivalentes</t>
  </si>
  <si>
    <t>INVESTIMENTOS PROGRAMADOS COM PREVISÃO DE FUNCIONALIDADE NO PERÍODO 2021/2024</t>
  </si>
  <si>
    <t xml:space="preserve">ID </t>
  </si>
  <si>
    <t>Cidade</t>
  </si>
  <si>
    <t>Ação de Investimento</t>
  </si>
  <si>
    <t>Tipo</t>
  </si>
  <si>
    <t xml:space="preserve">Fase </t>
  </si>
  <si>
    <t>Contrato</t>
  </si>
  <si>
    <t>2021</t>
  </si>
  <si>
    <t>2022</t>
  </si>
  <si>
    <t>2023</t>
  </si>
  <si>
    <t>2024</t>
  </si>
  <si>
    <t>Total Geral</t>
  </si>
  <si>
    <t>AGUAS LINDAS DE GOIAS</t>
  </si>
  <si>
    <t>CRS QUERÊNCIA, PLANALTO, BONITAS, QUEDAS, RECANTO E SUB-ADUTORAS¹ - G2</t>
  </si>
  <si>
    <t>SAA</t>
  </si>
  <si>
    <t>Obra</t>
  </si>
  <si>
    <t>NÃO INICIADO</t>
  </si>
  <si>
    <t>AMPLIAÇÃO DA CAPTAÇÃO, AMPLIAÇÃO DA EAB E DUPLICAÇÃO DA AAB¹ - G2</t>
  </si>
  <si>
    <t>NOVA ETA</t>
  </si>
  <si>
    <t>ANAPOLIS</t>
  </si>
  <si>
    <t>CAPTAÇÃO DEFINITIVA CAPIVARI</t>
  </si>
  <si>
    <t>Projeto</t>
  </si>
  <si>
    <t>455|2018</t>
  </si>
  <si>
    <t>INTERLIGAÇÃO DE SISTEMAS DE POÇOS</t>
  </si>
  <si>
    <t>AMPLIAÇÃO: CR AEROPORTO E RDA¹ - G2 (LOTE 1)</t>
  </si>
  <si>
    <t>AMPLIAÇÃO: CR'S (CALIXTÓPOLIS E RECANTO DO SOL) E RDA (LOTE 2)</t>
  </si>
  <si>
    <t>EEAT'S JARDIM AMÉRICA E SANTO ANDRÉ E ADUTORAS E RDA (LOTE 3)</t>
  </si>
  <si>
    <t>AMPLIAÇÃO: ETA - 1.200 L/S (LOTE 4)</t>
  </si>
  <si>
    <t>CONJUNTO DE REDES DE DISTRIBUIÇÃO DE ÁGUA - RDA'S (LOTE 5)</t>
  </si>
  <si>
    <t>AMPLIAÇÃO: CAPTAÇÕES PIANCÓ I E PIANCÓ II (LOTE 6)</t>
  </si>
  <si>
    <t>AQUISIÇÃO DE ETA COMPACTA</t>
  </si>
  <si>
    <t xml:space="preserve">LOTE 1 E 4: ETE E BACIA ANTAS CALDAS </t>
  </si>
  <si>
    <t>SES</t>
  </si>
  <si>
    <t>LOTE 4 - RCE BACIA ANTAS CALDAS - ACERTO FINAL</t>
  </si>
  <si>
    <t>2269|2015</t>
  </si>
  <si>
    <t>LOTE 5 - INTERCEPTOR, RCE BACIA CATINGUEIROS¹ - G2, EEE'S (BOM SUCESSO, EUSTÁQUIO, ITAMARATY, PARQUE DAS NAÇÕES, SANTA CECÍLIA)</t>
  </si>
  <si>
    <t>INTERCEPTOR CENTRO DE CONVENÇÕES</t>
  </si>
  <si>
    <t>ANICUNS</t>
  </si>
  <si>
    <t>IMPLANTAÇÃO DE REDES DE ESGOTO E ELEVATÓRIAS COMPACTAS DOS SETORES OESTE, BOA ESPERANÇA E JOÃO DIAS</t>
  </si>
  <si>
    <t>AMPLIAÇÃO CAPACIDADE DE TRATAMENTO - PROJETOS COMPLEMENTARES</t>
  </si>
  <si>
    <t>1192|2013</t>
  </si>
  <si>
    <t>AMPLIAÇÃO DA CAPACIDADE DE TRATAMENTO - PROJETO HIDRÁULICO</t>
  </si>
  <si>
    <t>APARECIDA DE GOIANIA</t>
  </si>
  <si>
    <t>LINHÃO SUL (PAC 2-1 REMANESCENTE 1607/2013 - RDC): CRS E RDAS TIRADENTES, MONTE CRISTO, CIDADE LIVRE, SOUZA, ELDORADO, IRACEMA, INDEPENDÊNCIA II E SANTO ANDRÉ, BOOSTER TIRADENTES E LINHAS DE RECALQUE, ADUTORAS, SISTEMA INDEPENDENTE DELFIORI II¹² - G1</t>
  </si>
  <si>
    <t>30000299|2019</t>
  </si>
  <si>
    <t>LINHÃO CENTRAL - IN 14 ETAPA 2 (TRECHO A): ADUTORA, CR VILA OLIVEIRA E EATS, RDA VILA OLIVEIRA¹²³ - G1</t>
  </si>
  <si>
    <t>30000010|2020</t>
  </si>
  <si>
    <t>LINHÃO CENTRAL - IN 14  ETAPA 3 (TRECHO A): CR VEIGA JARDIM E EATS, RDA VEIGA JARDIM, RDA PARQUE AMAZÔNIA¹²³ - G1</t>
  </si>
  <si>
    <t>30000008|2020</t>
  </si>
  <si>
    <t>LINHÃO OESTE (REMANESCENTE CONTRATO 611/2014) - CR ALTO PARAÍSO, CR E RDA PARK SUL, CR  E RDA BURITI SERENO, EAT MORADA DOS PÁSSAROS E AAT /MORADA DOS PÁSSAROS AO CR HELVÉCIA¹ RDA JD MARANATA, JARDIM DOM  BOSCO I E II- G1</t>
  </si>
  <si>
    <t>AQUISIÇÃO DE BOMBAS PARA INTERLIGAÇÃO DOS POÇOS PGB 75, EEAT/PGB76</t>
  </si>
  <si>
    <t>LINHAO GYN APA - TRECHO 2: AAT LINHAO GYN APA, CR GAMELEIRA, TORRE DE TRANSIÇÃO,DERIVAÇÕES DO LINHAO AOS CR'S JD OLIMPICO,BELA VISTA, VILA ALZIRA E PQ ATHENEU</t>
  </si>
  <si>
    <t>LINHÃO GYN APA -TRECHO 3: CR'S E RDA'S DO JD. OLÍMPICO, VILA ALZIRA, BELA VISTA E PQ ATHENEU I</t>
  </si>
  <si>
    <t>APORE</t>
  </si>
  <si>
    <t>TROCA DE ADUTORA, REDES E INSTALAÇÃO DE MACRO-MEDIDORES NOS RAPO R2 E R3</t>
  </si>
  <si>
    <t>ATENDIMENTO AO BAIRRO SANTA MÔNICA</t>
  </si>
  <si>
    <t>ARAGOIANIA</t>
  </si>
  <si>
    <t>SISTEMA INDEPENDENTE (POÇOS PC01, PC02 E PC03)</t>
  </si>
  <si>
    <t>AMPLIAÇÃO, MELHORIA E REESTRUTURAÇÃO DO SAA (CAPTAÇÃO, EEAB 1, AAB 1, EEAB 2, AAB 2, ETA,CR'S, EEAT, AAT E RDA)</t>
  </si>
  <si>
    <t>AMPLIAÇÃO: RCE, INTERCEPTOR, EEE E ETE</t>
  </si>
  <si>
    <t>1318|2013</t>
  </si>
  <si>
    <t>BARRO ALTO</t>
  </si>
  <si>
    <t>CAPTAÇÃO, ESTAÇÃO ELEVATÓRIA DE ÁGUA BRUTA (EAB), ESTAÇÃO DE TRATAMENTO DE ÁGUA (ETA), ESTAÇÃO ELEVATÓRIA DE ÁGUA TRATADA (EAT) E CENTRO DE RESERVAÇÃO (CR)</t>
  </si>
  <si>
    <t>AMPLIAÇÃO E MELHORIA (PLANSAB)</t>
  </si>
  <si>
    <t>CACHOEIRA ALTA</t>
  </si>
  <si>
    <t>CAMPINACU</t>
  </si>
  <si>
    <t>LEVANTAMENTO DE REMANESCENTE (CONVÊNIO 1286/2014) E ORÇAMENTOS</t>
  </si>
  <si>
    <t>CAVALCANTE</t>
  </si>
  <si>
    <t>CONCEPÇÃO PARA DEFINIR A MELHOR ALTERNATIVA DE CAPTAÇÃO</t>
  </si>
  <si>
    <t>CESARINA</t>
  </si>
  <si>
    <t>CAPTAÇÃO, ETA, RESERVAÇÃO E DISTRIBUIÇÃO</t>
  </si>
  <si>
    <t>1631|2017</t>
  </si>
  <si>
    <t>CONCLUIR EXECUÇÃO DE OBRAS E SERVIÇOS PARA UNIVERSALIZAÇÃO (REMANESCENTE CONTRATO 368/2014, CONVÊNIO 1132/2011)</t>
  </si>
  <si>
    <t>CIDADE OCIDENTAL</t>
  </si>
  <si>
    <t>LOTE I: TRAVESSIA BR 040, EAT 1, AAT R2, CR MOSSORÓ (PROJETO ENTORNO SUL)</t>
  </si>
  <si>
    <t>LOTE II - AAT 3, AAT 7, AAT 8, AAT R4, CR ETA E CR JD. EDITH (PROJETO ENTORNO SUL)</t>
  </si>
  <si>
    <t>CONSTRUÇÃO DE CAIXA DE AREIA ETE (ETE OCIDENTAL PARK), A SER DESATIVADA NO FUTURO.</t>
  </si>
  <si>
    <t>CRISTALINA</t>
  </si>
  <si>
    <t>INTERLIGAÇÃO POÇOS, CENTRO DE RESERVAÇÃO E RDA</t>
  </si>
  <si>
    <t>CAPTAÇÃO, ETA, RESERVAÇÃO E RDA - DISTRITO DE CAMPOS LINDOS</t>
  </si>
  <si>
    <t>1282|2013</t>
  </si>
  <si>
    <t>PERFURAÇÃO E INTERLIGAÇÃO DE POÇOS  - DISTRITO DE CAMPOS LINDOS - ADITIVO CONTRATO 692/2018</t>
  </si>
  <si>
    <t>NOVA CAPTAÇÃO, ELEVATÓRIAS, RESERVAÇÃO, REDES E LIGAÇÕES</t>
  </si>
  <si>
    <t>718|2013</t>
  </si>
  <si>
    <t>RCE, LIGAÇÕES, INTERCPETOR E 02 EEE'S (EMBIRA 2 E LAJE) - REMANESCENTE 2407/2014¹ - G2</t>
  </si>
  <si>
    <t>AMPLIAÇÃO E MELHORIAS DO INTERCEPTOR E ETE ARROJADO¹ - G2</t>
  </si>
  <si>
    <t>EEE TOPÁZIO - AQUISIÇÃO DE MATERIAIS ELÉTRICOS (QCM), CONJUNTOS MOTOR BOMBA E GRUPO GERADOR</t>
  </si>
  <si>
    <t>DAVINOPOLIS</t>
  </si>
  <si>
    <t>IMPLANTAÇÃO DE NOVAS RDA'S E LIGAÇÕES PARA GARANTIR A UNIVERSALIZAÇÃO DO SERVIÇO</t>
  </si>
  <si>
    <t>FLORES DE GOIAS</t>
  </si>
  <si>
    <t>MELHORIAS NA SISTEMA DE TRATAMENTO DE ÁGUA</t>
  </si>
  <si>
    <t>PERFURAÇÃO E INTERLIGAÇÃO DE UM POÇO TUBULAR PROFUNDO E IMPLANTAÇÃO DE NOVAS REDES E LIGAÇÕES DOMICILIARES</t>
  </si>
  <si>
    <t>CONSTRUÇÃO DE UM RESERVATÓRIO DE 100 M³</t>
  </si>
  <si>
    <t>IMPLANTAÇÃO NA SEDE</t>
  </si>
  <si>
    <t>GOIANDIRA</t>
  </si>
  <si>
    <t>AMPLIAÇÃO DO ÍNDICE DE ATENDIMENTO COM O SERVIÇO (APÓS RECEBIMENTO DAS OBRAS DE IMPLANTAÇÃO DO SES REALIZADAS PELO MUNICÍPIO EM PARCERIA COM A FUNASA)</t>
  </si>
  <si>
    <t>GOIANIA</t>
  </si>
  <si>
    <t>BOOSTER ETAG (REMANESCENTE PAC 2-1 LOTE 1)¹² - G1</t>
  </si>
  <si>
    <t>ADUTORA ETAG/ SENAC (REMANESCENTE PAC 2-1 LOTE 1)¹ - G2</t>
  </si>
  <si>
    <t>SISTEMA NOROESTE: ADUÇÃO / RESERVAÇÃO PAINEIRAS / SOLAR VILLE / RECANTO E BOOSTER LIBERDADE (REMANESCENTE PAC 2-1 LOTE 2 CONTRATO 149/2016)¹ - G2</t>
  </si>
  <si>
    <t>SISTEMA NOROESTE: CRS CURITIBA I E II (REMANESCENTE PAC 2-1 LOTE 4)¹² - G1</t>
  </si>
  <si>
    <t>SISTEMA NOROESTE: RDA FINSOCIAL, CURITIBA E SÃO DOMINGOS (REMANESCENTE PAC 2-1 LOTE 3)¹ - G2</t>
  </si>
  <si>
    <t>LINHÃO CENTRAL - IN 14 ETAPA 1 (TRECHO A): BOOSTER CASCALHO¹²³ - G1</t>
  </si>
  <si>
    <t>30000133|2019</t>
  </si>
  <si>
    <t>REGIÃO NORDESTE: DERIVAÇÕES  1 (ITANHANGÁ), 2 (GUANABARA) E 3 (PEDROSO)  - SISTEMA MAURO BORGES</t>
  </si>
  <si>
    <t>REGIÃO SUDOESTE:  EIXO RECANTO/SÃO JOSÉ/ SANTA RITA - SISTEMA MEIA PONTE</t>
  </si>
  <si>
    <t>BOOSTER E AAT JOÃO LEITE / CRISTINA E CR CRISTINA (CONEXÃO SISTEMA MB AO MP)¹ - G2</t>
  </si>
  <si>
    <t>ETA MAURO BORGES  (MÓDULO 2000 L/S, TRATAMENTO RESÍDUOS E OTIMIZAÇÃO)</t>
  </si>
  <si>
    <t>ANTEPROJETO CALDAS (CAPTAÇÃO DIRETA 1.000 L/S / BARRAMENTO 2.000 L/S)</t>
  </si>
  <si>
    <t>DIVERSOS - AQUISIÇÃO DE COMPONENTES PARA RECOMPOSIÇÃO ASFÁLTICA EM OBRAS SUPERVENIENTES - LOTES 1 E 2</t>
  </si>
  <si>
    <t>LINHÃO GYN-APA LOTE 1 - EAT SENAC E DUPLICAÇÃO AAT SENAC/CELG</t>
  </si>
  <si>
    <t>AMPLIAÇÃO DO CR CRISTINA - RESERVATÓRIO APOIADO 10.000 M³</t>
  </si>
  <si>
    <t>ID 746 - PESQUISA DE MANANCIAL SUBTERRÂNEO ATRAVES DA PERFURAÇAO, DESOBSTRUÇAO E TAMPONAMENTO DE POÇOS TUBULARES PROFUNDOS NAS DIVERSAS CIDADES DO ESTADO</t>
  </si>
  <si>
    <t>692|2018</t>
  </si>
  <si>
    <t>ID 617 - LEVANTAMENTO PLANIALTIMETRICOS, SEMI-CADASTRAIS, AREAS ESPECIAIS, FAIXAS E DOCUMENTAÇÃO PARA VARIAS CIDADES</t>
  </si>
  <si>
    <t>SERVIÇOS TÉCNICOS ESPECIALIZADOS EM ENGENHARIA, ELABORAÇÃO DE PROJETOS ESTRUTURAIS E DE FUNDAÇÕES PARA DIVERSAS CIDADES DO ESTADO DE GOIÁS</t>
  </si>
  <si>
    <t>ETE HÉLIO SEIXO DE BRITTO - SECUNDÁRIO OBRAS CIVIS</t>
  </si>
  <si>
    <t>317|2016</t>
  </si>
  <si>
    <t>REGIÃO NOROESTE - REDES CAVEIRINHA - NOVA ESPERANÇA / JARDIM PETRÓPOLIS (REMANESCENTE)¹² - G1</t>
  </si>
  <si>
    <t>30000256|2019</t>
  </si>
  <si>
    <t>REGIÃO NOROESTE - REDES CAVEIRINHA - CURITIBA / SÃO DOMINGOS / ESTRELA DALVA, INTERCEPTOR PINGUELA PRETA E EEE RECANTO DO BOSQUE (REMANESCENTE CONTRATO 79/2013)¹ - G2</t>
  </si>
  <si>
    <t>INTERMEDIÁRIO MEIA PONTE - JUSANTE (INTERCEPTOR / EEE) LOTE 01</t>
  </si>
  <si>
    <t>1716|2015</t>
  </si>
  <si>
    <t>INTERMEDIÁRIO MEIA PONTE - JUSANTE (ETE PARQUE ATHENEU) LOTE 02</t>
  </si>
  <si>
    <t>1717|2015</t>
  </si>
  <si>
    <t>INTERMEDIÁRIO MEIA PONTE - MONTANTE  - CORREÇÃO DE LANÇAMENTO DE ESGOTO IN NATURA NO RIO MEIA PONTE (69 PONTOS)¹ - G2</t>
  </si>
  <si>
    <t>BACIA DOURADOS</t>
  </si>
  <si>
    <t>INTERCEPTOR ANICUNS MARGEM ESQUERDA, EXTENSÕES DE REDE E EEE JOÃO VAZ (REMANESCENTE CONTRATO 1168/2014) - CORREÇÃO DE LANÇAMENTO DE ESGOTO IN NATURA NO RIO MEIA PONTE (13 PONTOS)¹ - G2</t>
  </si>
  <si>
    <t>ETE HÉLIO SEIXO DE BRITTO - 2º ETAPA E DESINFECÇÃO</t>
  </si>
  <si>
    <t>ETE PARQUE ATHENEU DESINFECÇÃO</t>
  </si>
  <si>
    <t>BACIA JOÃO LEITE / COMPLEMENTAÇÃO INTERMEDIÁRIO MEIA PONTE</t>
  </si>
  <si>
    <t>SISTEMA TAQUARAL (BACIA TAQUARAL) - LOTE 1</t>
  </si>
  <si>
    <t>SISTEMA TAQUARAL (BACIA SALINAS) - LOTE 2</t>
  </si>
  <si>
    <t>CONJ. CAIXA DE AREIA- INTERM. MEIA PONTE - AQUISIÇÕES RD 09/2019</t>
  </si>
  <si>
    <t>COMPORTAS AÇO INOX - INTERM. MEIA PONTE - AQUISIÇÕES RD 09/2019</t>
  </si>
  <si>
    <t>SIST. AERAÇÃO - INTERM. MEIA PONTE - AQUISIÇÕES RD 09/2019</t>
  </si>
  <si>
    <t>STOP LOG/COMPORTAS/CALHA PARSHAL - INTERM. MEIA PONTE - AQUISIÇÕES RD 09/2019</t>
  </si>
  <si>
    <t>PENEIRA/ESTEIRA TRANSP. - INTERM. MEIA PONTE - AQUISIÇÕES RD 09/2019</t>
  </si>
  <si>
    <t>RESERVATÓRIO 5M³ E 10 M³  - INTERM. MEIA PONTE - AQUISIÇÕES RD 09/2019</t>
  </si>
  <si>
    <t>TUBOS ESG CONCRETO - INTERM. MEIA PONTE - AQUISIÇÕES RD 09/2019</t>
  </si>
  <si>
    <t>MEDIDOR DE VAZÃO - INTERM. MEIA PONTE - AQUISIÇÕES RD 09/2019</t>
  </si>
  <si>
    <t>PARAF./ARRUELAS/CONEXÕES FOFO - INTERM. MEIA PONTE - AQUISIÇÕES RD 09/2019</t>
  </si>
  <si>
    <t>REGISTROS/VÁLVULAS/ VENTOSAS - INTERM. MEIA PONTE - AQUISIÇÕES RD 09/2019</t>
  </si>
  <si>
    <t>TUBOS E CONEXÕES PEAD - ETE HÉLIO SEIXO DE BRITTO - SECUNDÁRIO - AQUISIÇÕES RD 09/2019</t>
  </si>
  <si>
    <t>CONEXÕES FOFO, AÇO CARBONO - ETE HÉLIO SEIXO DE BRITTO - SECUNDÁRIO - AQUISIÇÕES RD 09/2019</t>
  </si>
  <si>
    <t>BOMBAS - ETE HÉLIO SEIXO DE BRITTO - SECUNDÁRIO - AQUISIÇÕES RD 09/2019</t>
  </si>
  <si>
    <t>COMPORTAS AÇO INOX - ETE HÉLIO SEIXO DE BRITTO - SECUNDÁRIO - AQUISIÇÕES RD 09/2019</t>
  </si>
  <si>
    <t>CENTRÍFUGAS - ETE HÉLIO SEIXO DE BRITTO - SECUNDÁRIO - AQUISIÇÕES RD 09/2019</t>
  </si>
  <si>
    <t>SISTEMA DE AERAÇÃO - ETE HÉLIO SEIXO DE BRITTO - SECUNDÁRIO - AQUISIÇÕES RD 09/2019</t>
  </si>
  <si>
    <t>PONTE ROLANTE - ETE HÉLIO SEIXO DE BRITTO - SECUNDÁRIO - AQUISIÇÕES RD 09/2019</t>
  </si>
  <si>
    <t>MISTURADOR 0,25 CV - ETE HÉLIO SEIXO DE BRITTO - SECUNDÁRIO - AQUISIÇÕES RD 09/2019</t>
  </si>
  <si>
    <t>SISTEMA INERTE, MISTURADOR, ESTEIRA, TRANSP., ROSCA - ETE HÉLIO SEIXO DE BRITTO - SECUNDÁRIO - AQUISIÇÕES RD 09/2019</t>
  </si>
  <si>
    <t>MEDIDOR DE VAZÃO - ETE HÉLIO SEIXO DE BRITTO - SECUNDÁRIO - AQUISIÇÕES RD 09/2019</t>
  </si>
  <si>
    <t>COLETOR DE LODO, REMOVEDOR DE ESCUMA - ETE HÉLIO SEIXO DE BRITTO - SECUNDÁRIO - AQUISIÇÕES RD 09/2019</t>
  </si>
  <si>
    <t>SIST. DE ALIM. DE POLÍMEROS - ETE HÉLIO SEIXO DE BRITTO - SECUNDÁRIO - AQUISIÇÕES RD 09/2019</t>
  </si>
  <si>
    <t>VALVULA DE ESFERA EM FERRO FUNDIDO A SER APLICADA AO TANQUE DE AERAÇÃO</t>
  </si>
  <si>
    <t>TUBOS E CONEXOES EM FERRO FUNDIDO, VALVULA E ACESSÓRIOS PARA ESTAÇÃO ELEVATÓRIA DE RETORNO DE LODO</t>
  </si>
  <si>
    <t>TUBOS E CONEXÕES FOFO - INTERMEDIÁRIO MEIA PONTE</t>
  </si>
  <si>
    <t>VALVULA P/ ESFERA FOFO - INTERMENDIÁRIO MEIA PONTE</t>
  </si>
  <si>
    <t>GUARINOS</t>
  </si>
  <si>
    <t>PERFURAÇÃO DE POÇOS TUBULAR PROFUNDO (DEMANDA 15 L/S), INCLUSIVE URBANIZAÇÃO, ENERGIZAÇÃO E ADUTORAS</t>
  </si>
  <si>
    <t>INSTALAÇÃO DE REL METÁLICO 50 M³, NA ÁREA DO RAPO 120 M³</t>
  </si>
  <si>
    <t>REDIMENSIONAMENTO E MODULAÇÃO DA REDE</t>
  </si>
  <si>
    <t>HIDROLANDIA</t>
  </si>
  <si>
    <t>SISTEMA INDEPENDENTE / RDA CIDADE DAS ÁGUAS¹ - G1</t>
  </si>
  <si>
    <t>AMPLIAÇÃO: EAB, ETA, CRS - SISTEMA BONITO DO MEIO</t>
  </si>
  <si>
    <t>CENTRO DE RESERVAÇÃO ESCRITÓRIO</t>
  </si>
  <si>
    <t>IMPLANTAÇÃO: RCE, INTERCEPTORES E ETE</t>
  </si>
  <si>
    <t>INDIARA</t>
  </si>
  <si>
    <t>AMPLIAÇÃO E MELHORIA</t>
  </si>
  <si>
    <t>SUBSTITUIÇÃO DA AAT 300MM</t>
  </si>
  <si>
    <t>INHUMAS</t>
  </si>
  <si>
    <t>AMPLIAÇÃO</t>
  </si>
  <si>
    <t>AMPLIAÇÃO E MELHORIAS (PLANSAB)</t>
  </si>
  <si>
    <t>ESTUDO DE CONCEPÇÃO DA AMPLIAÇÃO DE INHUMAS: RCE, INTERCEPTOR, EEE E ETE</t>
  </si>
  <si>
    <t>ESTAÇÃO ELEVATÓRIA DE ESGOTO (UPA LAZARO ALBERTO DE MORAES) E LINHA DE RECALQUE</t>
  </si>
  <si>
    <t>ITAJA</t>
  </si>
  <si>
    <t>ITAPACI</t>
  </si>
  <si>
    <t>AMPLIAÇÃO PRODUÇÃO, ETA E DISTRIBUIÇÃO</t>
  </si>
  <si>
    <t>2130|2013</t>
  </si>
  <si>
    <t>CONCLUSÃO DAS OBRAS DE IMPLANTAÇÃO DO SES (REMANESCENTE DO CONTRATO 1012/2012)</t>
  </si>
  <si>
    <t>ITAPURANGA</t>
  </si>
  <si>
    <t>IMPLANTAÇÃO DE SISTEMA NO DISTRITO DE DIOLÂNDIA ATÉ O SEGUNDO ANO DO CONTRATO</t>
  </si>
  <si>
    <t>INSTALAÇÃO DE GERADORES DE ENERGIA NAS DUAS ESTAÇÕES ELEVATÓRIAS DE ESGOTO (EEE) NA REGIÃO NORTE</t>
  </si>
  <si>
    <t>EXECUÇÃO DE OBRAS DE COMPLEMENTAÇÃO DO SISTEMA</t>
  </si>
  <si>
    <t>1210|2014</t>
  </si>
  <si>
    <t xml:space="preserve">ITUMBIARA </t>
  </si>
  <si>
    <t>MELHORIA DE SAA</t>
  </si>
  <si>
    <t>JATAI</t>
  </si>
  <si>
    <t>RESERVATÓRIO R-4A (500 M³)</t>
  </si>
  <si>
    <t>LOTE 1: NOVO SISTEMA PRODUTOR RIO CLARO: CAPTAÇÃO, EEAB, AAB, EEAT R1 - R8 E CR 10 A SEMI INTEGRADA</t>
  </si>
  <si>
    <t>JUSSARA</t>
  </si>
  <si>
    <t>INTERLIGAÇÃO DE DOIS RESERVATÓRIOS</t>
  </si>
  <si>
    <t>ATENDIMENTO AO EMPREENDIMENTO VIDA NOVA (REDES E LIGAÇÕES)</t>
  </si>
  <si>
    <t>AMPLIAÇÃO E MELHORIAS</t>
  </si>
  <si>
    <t>REESTRUTURAÇÃO E AMPLIAÇÃO</t>
  </si>
  <si>
    <t>CONCEPÇÃO</t>
  </si>
  <si>
    <t>LUZIANIA</t>
  </si>
  <si>
    <t>SISTEMA PRODUTOR CORUMBÁ</t>
  </si>
  <si>
    <t>307|2015</t>
  </si>
  <si>
    <t>SISTEMA PRODUTOR CORUMBÁ - TRAVESSIA 3  (NÃO DESTRUTIVA) - BR 040, KM 15 + 550M. ABASTECIMENTO DOS SETORES CIDADE OSFAYA, UMUARAMA E ADJACÊNCIAS.</t>
  </si>
  <si>
    <t>AQUISIÇÃO DE MATERIAL HIDRÁULICO PARA EXECUÇÃO DE INTERLIGAÇÃO DO SISTEMA CORUMBÁ NOS MUNICÍPIOS DE VALPARAÍSO E LUZIANIA</t>
  </si>
  <si>
    <t>LOTE I - INTERLIGAÇÃO AAT DN 300 EXISTENTE, AAT 9, EAT 5, EAT 6, BOOSTER (CR SOL NASCENTE- CR MANDU), CR MANDU, CR SION, CR VERA CRUZ (PROJETO ENTORNO SUL)</t>
  </si>
  <si>
    <t>LOTE II - RDA'S SETOR ESTRELA D'ALVA IV E VIII, JARDIM BRASÍLIA SUL (PROJETO ENTORNO SUL)</t>
  </si>
  <si>
    <t>LOTE III - AAT 1 (TRECHO I AO TRECHO V), AAT 5, AATR 7, CR ALVORADA E CR INGÁ (PROJETO ENTORNO SUL)</t>
  </si>
  <si>
    <t>MINACU</t>
  </si>
  <si>
    <t>MELHORIAS NO SISTEMA DE PRODUÇÃO E REFORÇO NA REDE DE DISTRIBUIÇÃO</t>
  </si>
  <si>
    <t>REDES, INTERCEPTOR E ELEVATÓRIAS - REGIÃO NORTE DA CIDADE (BAIRROS MINAÇU NORTE, NOVA ESPERANÇA, RESIDENCIAL TOCANTINS,  PARTE DO CENTRO II,  SETOR VILA MENEZES, SETOR MARAJOARA, NOVA ESPERANÇA E VILA MANCHESTER),</t>
  </si>
  <si>
    <t>IMPLANTAÇÃO DE ESTAÇÃO ELEVATORIA EM SUBSTITUIÇÃO DA ETE DE FURNAS, INCLUSO GRUPO GERADOR DE ENERGIA</t>
  </si>
  <si>
    <t>DISPOSIÇÃO FINAL DOS RESIDUOS DE ETE E ETA, EM LOCAL E CONDIÇÕES ADEQUADAS</t>
  </si>
  <si>
    <t>RCE SETOR ILSON VAZ</t>
  </si>
  <si>
    <t>RCE  SETOR SERRINHA E JARDIM ARIMATÉIA.</t>
  </si>
  <si>
    <t>MORRINHOS</t>
  </si>
  <si>
    <t>REVISÃO DO PROJETO DE AMPLIAÇÃO DA ETE E IMPLANTAÇÃO DO INTERCEPTOR CORDEIRO MARGEM ESQUERDA E RCE  DO SETOR ANTÔNIO BUENO, SETOR AEROPORTO II, SETOR BELA VISTA II, JARDIM BELA VISTA, SETOR FELÍCIO CHAVES, SETOR MONTE VERDE, SETOR CRISTINA PARK, SETOR GEN</t>
  </si>
  <si>
    <t>MOZARLANDIA</t>
  </si>
  <si>
    <t>PRODUÇÃO, TRATAMENTO, RESERVAÇÃO E DISTRIBUIÇÃO</t>
  </si>
  <si>
    <t>NAZARIO</t>
  </si>
  <si>
    <t>AUMENTO DO VOLUME DE RESERVAÇÃO, CONSTRUÇÃO DE RESERVATÓRIOS E CRIAÇÃO DE SETORES NO MUNICÍPIO</t>
  </si>
  <si>
    <t>NOVO GAMA</t>
  </si>
  <si>
    <t>RESIDENCIAL BRASÍLIA (INTERLIGAÇÃO POÇO PGD 27)¹ - G3</t>
  </si>
  <si>
    <t>ATENDER SAA RESIDENCIAL PARAÍSO I (POÇO PGD 26 E PGD 80, ETA COMPACTA, RAPO 200 M³ E RDA)</t>
  </si>
  <si>
    <t>COLOCAR OS POÇOS DO RESIDENCIAL ALVORADA PARA FUNCIONAR (PGD 15 E PGD 16)</t>
  </si>
  <si>
    <t>ALTERAR A CAPTAÇÃO NO RIBEIRÃO SANTA MARIA</t>
  </si>
  <si>
    <t>IMPLANTAÇÃO DE RCE, INTERCEPTORES, EEBS E AMPLIAÇÃO DA ETE LAGO AZUL - SES CORUMBÁ</t>
  </si>
  <si>
    <t>PALMELO</t>
  </si>
  <si>
    <t>MELHORIAS NA ETA</t>
  </si>
  <si>
    <t>PETROLINA DE GOIAS</t>
  </si>
  <si>
    <t>REFORMA, MODERNIZAÇÃO E AMPLIAÇÃO DA CAPTAÇÃO, TRATAMENTO E ADUÇÃO, BUSCANDO O ATENDIMENTO PERMANENTE ÀS DEMANDAS DE CONSUMO.</t>
  </si>
  <si>
    <t>REDES E ELEVATÓRIAS</t>
  </si>
  <si>
    <t>2316|2013</t>
  </si>
  <si>
    <t>PIRES DO RIO</t>
  </si>
  <si>
    <t>REDES, INTERCEPTOR, ELEVATÓRIAS E ETE LARANJAL E BACIA SAMPAIO (RCE, EEE E REFORMA ETE)</t>
  </si>
  <si>
    <t>LOTE 1: SES BACIA LARANJAL - RCE, INTERCEPTOR LARANJAL, TRAVESSIA, EEE OSVALDO GONÇALVES, SIFÃO INVERTIDO E ETE LARANJAL</t>
  </si>
  <si>
    <t>LOTE 2 - BACIA SAMPAIO - EEE JK, EEE PARQUE SANTANA, RCE, LIGAÇÕES E REFORMA DA ETE SAMPAIO)</t>
  </si>
  <si>
    <t>POSSE</t>
  </si>
  <si>
    <t>IMPLANTAR UTR DA ETA</t>
  </si>
  <si>
    <t>IMPLANTAÇÃO DE RDA NO SETOR CAFELÂNDIOS</t>
  </si>
  <si>
    <t>EXTENSÃO DE REDE REDE DE ENERGIA ELÉTRICA 34,5KV NO POVOADO DE BARBOSILÂNDIA</t>
  </si>
  <si>
    <t>AMPLIAÇÃO DO SISTEMA, INCLUSIVE ETE, VISANDO ATENDER OS SETORES VALE DO AMANHECER, SETOR DOS FUNCIONÁRIOS E BELA VISTA</t>
  </si>
  <si>
    <t>RIO VERDE</t>
  </si>
  <si>
    <t>SISTEMA  ABÓBORA</t>
  </si>
  <si>
    <t>SISTEMA RIO VERDINHO - LOTE 3 UNIDADES DE DISTRIBUIÇÃO (AAT, RESERVATÓRIOS, EEAT  E RDA - SEMI INTEGRADA)</t>
  </si>
  <si>
    <t>SISTEMA RIO VERDINHO - LOTE 2 - NOVA ETA INTEGRADA</t>
  </si>
  <si>
    <t>SISTEMA RIO VERDINHO - LOTE 1 - AMPLIAÇÃO DO SAA - CAPTAÇÃO E AAB; SEMI INTEGRADA</t>
  </si>
  <si>
    <t>SANTO ANT DO DESCOBERTO</t>
  </si>
  <si>
    <t>MELHORIA E AMPLIAÇÃO DO SISTEMA EXISTENTE</t>
  </si>
  <si>
    <t>CONCLUSÃO DAS OBRAS INICIADAS ATRAVÉS DE RECURSOS DO PLANO DO PAC 1: ESTAÇÃO DE TRATAMENTO DE ÁGUA (AMPLIAÇÃO), RESERVATÓRIOS R-6 (1000 M³), R-9 (500 M³), R-10 (500 M³) E R-11 (50 M³), REDES DE DISTRIBUIÇÃO DE ÁGUA  E UTR DA ETA</t>
  </si>
  <si>
    <t>CONCLUSÃO DAS OBRAS INICIADAS ATRAVÉS DE RECURSOS DO PLANO DE ACELERAÇÃO DO CRESCIMENTO (PAC 2): RESERVATÓRIOS R-4 (700 M³), R-5 (200 M³), R-12 (300 M³), R-13 (500 M³) E R-14 (50 M³), BOOSTER, ADUTORA DE ÁGUA TRATADA, REDES DE DISTRIBUIÇÃO DE ÁGUA E LIGAÇ</t>
  </si>
  <si>
    <t>ATENDIMENTO COM SISTEMA DE ABASTECIMENTO DE ÁGUA PARA OS BAIRROS  PARQUE ESTRELA D'ALVA XIII A XVIII.</t>
  </si>
  <si>
    <t>CONCLUSÃO DAS OBRAS INICIADAS ATRAVÉS DE RECURSOS DO PLANO DE ACELERAÇÃO DO CRESCIMENTO (PAC 1): ESTAÇÃO DE TRATAMENTO DE ESGOTO _x001A_ ETE (TRATAMENTO TERCIÁRIO), ESTAÇÃO ELEVATÓRIA DE ESGOTO (EEE), REDES COLETORAS DE ESGOTO E LIGAÇÕES DOMICILIARES.</t>
  </si>
  <si>
    <t>SAO LUIZ M BELOS</t>
  </si>
  <si>
    <t>IMPLANTAÇÃO DA NOVA CAPTAÇÃO NO RIBEIRÃO SANTA ROSA E AAB - PROJETOS E OBRAS</t>
  </si>
  <si>
    <t>TRATAMENTO E DISTRIBUIÇÃO</t>
  </si>
  <si>
    <t>REDES, INTERCEPTOR E ELEVATÓRIAS - PROJETO EXECUTIVO E OBRAS</t>
  </si>
  <si>
    <t>AMPLIAÇÃO E MELHORIA (GRS - PLANSAB)</t>
  </si>
  <si>
    <t>STO ANTONIO DA BARRA</t>
  </si>
  <si>
    <t>TRINDADE</t>
  </si>
  <si>
    <t>AMPLIAÇÃO: AAT, CR, EAT, BOOSTER E RDA</t>
  </si>
  <si>
    <t>URUACU</t>
  </si>
  <si>
    <t>NOVA  CAPTAÇÃO / EEAB</t>
  </si>
  <si>
    <t>IMPLANTAÇÃO DE  NOVA ETA COM SISTEMA DE TRATAMENTO ADEQUADO PARA DIMINUIÇÃO DA TURBIDEZ</t>
  </si>
  <si>
    <t>OBRAS E SERVIÇOS DE AMPLIAÇÃO DO SISTEMA - REMANESCENTE CONTRATO Nº 942/2012 (INTERCEPTOR, 1 TRAVESSIAS (ATENDER PARTE DO SETOR SUL II  ABAIXO DA AV. SERRA DOURADA)  E 1 ELEVATÓRIA E RCE PARA ATENDIMENTO DO SETOR LAGO SUL I)</t>
  </si>
  <si>
    <t>VALPARAISO DE GOIAS</t>
  </si>
  <si>
    <t>LOTE I - CR ETA CORUMBÁ (PROJETO ENTORNO SUL)</t>
  </si>
  <si>
    <t>LOTE II -  CR CORUMBÁ /CR MARAJÓ (RAL -REDE ALIMENTADORA CR CORUMBÁ (DOS RAP'S 10.000 M³ ATÉ DERIVAÇÃOPARA CIDADES); EEAT1; EEAT2; AAT2 (CR ETA CORUMBÁ ATÉ CR MORADA NOBRE); CR MORADA NOBRE: CÃMARA DE TRANQUILIZAÇÃO - 1000M³; EAT3 -CR MORADA NOBRE AO CR C</t>
  </si>
  <si>
    <t>LOTE III - AAT 5, CAMARA DE TRANQUILIZACAO, RAL 2, RAL 3, RAL 4 E IMPLANTAÇÃO DE RDA (PROJETO DO ENTORNO SUL)</t>
  </si>
  <si>
    <t>INICIADO</t>
  </si>
  <si>
    <t>Quantitativo de Pessoal Próprio Operacional / nº economia total</t>
  </si>
  <si>
    <t>Tarifa Básica / Tarifa Média de Água</t>
  </si>
  <si>
    <t>Despesa Pessoal Próprio Operacional / nº economia total</t>
  </si>
  <si>
    <t>Despesa Material / nº economia total</t>
  </si>
  <si>
    <t>Custo Material Tratamento / Volume Água Produzida</t>
  </si>
  <si>
    <t>Custos Serviços Terceiros/nº economia total</t>
  </si>
  <si>
    <t>Gastos Energia Elétrica / Volume Água Produzida</t>
  </si>
  <si>
    <t>Despesas Gerais / nº economia total</t>
  </si>
  <si>
    <t>Outras despesas operacionais / nº economia total</t>
  </si>
  <si>
    <t>Despesas Tributárias / Receita Total</t>
  </si>
  <si>
    <t>IN 1</t>
  </si>
  <si>
    <t>IN 2</t>
  </si>
  <si>
    <t>IN 3</t>
  </si>
  <si>
    <t>IN 4</t>
  </si>
  <si>
    <t>IN 5</t>
  </si>
  <si>
    <t>IN 6</t>
  </si>
  <si>
    <t>IN 7</t>
  </si>
  <si>
    <t>IN 8</t>
  </si>
  <si>
    <t>IN 9</t>
  </si>
  <si>
    <t>IN 10</t>
  </si>
  <si>
    <t>Nº Economias Total</t>
  </si>
  <si>
    <t>Volume Água Produzida</t>
  </si>
  <si>
    <t>Receita Total</t>
  </si>
  <si>
    <t>Tarifa Média de Água</t>
  </si>
  <si>
    <t>Volume Água Faturado</t>
  </si>
  <si>
    <t>DADOS ANO BASE (2020)</t>
  </si>
  <si>
    <t>Receita Água</t>
  </si>
  <si>
    <t>TOTAL</t>
  </si>
  <si>
    <t>EVOLUÇÃO - DADOS OPERACIONAIS SANEAGO 2017 - 2020</t>
  </si>
  <si>
    <t>MIGV124</t>
  </si>
  <si>
    <t>Unidade</t>
  </si>
  <si>
    <t>Tarifa Básica</t>
  </si>
  <si>
    <t>Receita Tarifa Básica (custo mínimo fixo)</t>
  </si>
  <si>
    <t>econ.</t>
  </si>
  <si>
    <t>R$</t>
  </si>
  <si>
    <t>func.</t>
  </si>
  <si>
    <t>func/econ.  X 1000</t>
  </si>
  <si>
    <t>R$/econ.</t>
  </si>
  <si>
    <t>Despesa Material</t>
  </si>
  <si>
    <t>Custo Material Tratamento</t>
  </si>
  <si>
    <t>Custos Serviços Terceiros</t>
  </si>
  <si>
    <t>Gastos Energia Elétrica</t>
  </si>
  <si>
    <t>Outras despesas operacionais</t>
  </si>
  <si>
    <t>Despesas Tributária</t>
  </si>
  <si>
    <t>Despesas Gerais</t>
  </si>
  <si>
    <t>Despesa Pessoal Próprio Operacional </t>
  </si>
  <si>
    <t>Valor</t>
  </si>
  <si>
    <t>Cod. Indicador</t>
  </si>
  <si>
    <t>INDICADORES</t>
  </si>
  <si>
    <t>Ano Base (2020)</t>
  </si>
  <si>
    <t xml:space="preserve"> </t>
  </si>
  <si>
    <t>Fórmula</t>
  </si>
  <si>
    <r>
      <t>R$/m</t>
    </r>
    <r>
      <rPr>
        <vertAlign val="superscript"/>
        <sz val="11"/>
        <color rgb="FF000000"/>
        <rFont val="Arial"/>
        <family val="2"/>
      </rPr>
      <t>3</t>
    </r>
  </si>
  <si>
    <t>Pessoal Próprio</t>
  </si>
  <si>
    <t>GERAIS</t>
  </si>
  <si>
    <t>Tratamento</t>
  </si>
  <si>
    <t>Materiais</t>
  </si>
  <si>
    <t>Terceiros</t>
  </si>
  <si>
    <t>Outras Despesas Operacionais</t>
  </si>
  <si>
    <t>Economias Ativas Totais</t>
  </si>
  <si>
    <t>Nº Funcionários Operacional</t>
  </si>
  <si>
    <t>Nº Funcionários Demais Áreas</t>
  </si>
  <si>
    <t>nº</t>
  </si>
  <si>
    <t>R$/nº de funcionários</t>
  </si>
  <si>
    <t>Público</t>
  </si>
  <si>
    <t>RESUMO DA BASE DE ATIVOS REGULATÓRIOS</t>
  </si>
  <si>
    <t>BASE Dezembro/2020 - Valores x 1.000</t>
  </si>
  <si>
    <t>ATIVO IMOBILIZADO EM SERVIÇO</t>
  </si>
  <si>
    <t>Ativo Imobilizado em Serviço (VNR)</t>
  </si>
  <si>
    <t>Ativos Não Onerosos</t>
  </si>
  <si>
    <t>Valor do Ativo 100% depreciado (VNR)</t>
  </si>
  <si>
    <t>Depreciação Acumulada</t>
  </si>
  <si>
    <t>Percentual 100% Depreciado BAR BRUTA</t>
  </si>
  <si>
    <t>Parcela de IA Depreciado</t>
  </si>
  <si>
    <t>Reserva Operacional Móvel</t>
  </si>
  <si>
    <t>Base Bruta - Quota de Reitregração Regulatória</t>
  </si>
  <si>
    <t>BAR</t>
  </si>
  <si>
    <t>BASE INCREMENTAL: JAN/2019 A DEZ/2020</t>
  </si>
  <si>
    <t>VNR dos Terrenos e Servidões</t>
  </si>
  <si>
    <t>Base Bruta / QRR</t>
  </si>
  <si>
    <t>Fonte: Laudo Asset Experts Consultoria e Engenharia de Avaliações Ltda.</t>
  </si>
  <si>
    <t>Movimentação da Base de Ativos</t>
  </si>
  <si>
    <t>Depreciação</t>
  </si>
  <si>
    <t>CAPEX Incorporado</t>
  </si>
  <si>
    <t>Variação do Capital de Giro</t>
  </si>
  <si>
    <t>Valor Residual</t>
  </si>
  <si>
    <t>Capital de Giro Regulatório</t>
  </si>
  <si>
    <t>Descrição</t>
  </si>
  <si>
    <t>Metodologia</t>
  </si>
  <si>
    <t>I - Ativo Circulante</t>
  </si>
  <si>
    <t>Disponível</t>
  </si>
  <si>
    <t>Contas a receber de clientes (CR)</t>
  </si>
  <si>
    <t>( (CR) / (RO) ) x Previsão de Receita</t>
  </si>
  <si>
    <t>Estoques (E)</t>
  </si>
  <si>
    <t>( (E) / (DMG + DMT) ) x (Previsão de DMG + DMT)</t>
  </si>
  <si>
    <t>Demais Contas a Receber</t>
  </si>
  <si>
    <t>Manuntenção do Saldo de 2020</t>
  </si>
  <si>
    <t>II - Passivo Circulante</t>
  </si>
  <si>
    <t>( (FO) / (DMG + DMT + ST + EE + DG + DF + ODO) ) x (Previsão de OPEX - Previsão de Pessoal)</t>
  </si>
  <si>
    <t>Obrigações Trabalhistas</t>
  </si>
  <si>
    <t>( (OT) / (DP) ) x (Previsão de Despesas de Pessoal)</t>
  </si>
  <si>
    <t>Obrigações Tributárias</t>
  </si>
  <si>
    <t>( (OTRI) / (OPEX) ) x (Previsão de OPEX)</t>
  </si>
  <si>
    <t>Outras Contas a Pagar</t>
  </si>
  <si>
    <t>( (OC) / (OPEX) ) x (Previsão de OPEX)</t>
  </si>
  <si>
    <t>III - Capital de Giro Regulatório</t>
  </si>
  <si>
    <t>Saldo</t>
  </si>
  <si>
    <t>Variação</t>
  </si>
  <si>
    <t>Dados Balanço Patrimonial Saneago em 31/12/2020</t>
  </si>
  <si>
    <t>Contas</t>
  </si>
  <si>
    <t>Saldos</t>
  </si>
  <si>
    <t>Contas a receber a vencer (CR)</t>
  </si>
  <si>
    <t>Demais Contas a Receber (OR)</t>
  </si>
  <si>
    <t>Fornecedores (FO)</t>
  </si>
  <si>
    <t>Obrigações Trabalhistas (OT)</t>
  </si>
  <si>
    <t>Obrigações Tributárias (OTRI)</t>
  </si>
  <si>
    <t>Outras Contas a Pagar (OC)</t>
  </si>
  <si>
    <t>Receita Operacional (RO)</t>
  </si>
  <si>
    <t>Custo da Mercadoria Vendida (CMV)</t>
  </si>
  <si>
    <t>OPEX</t>
  </si>
  <si>
    <t>Despesas de Pessoal (DP)</t>
  </si>
  <si>
    <t>Despesas Materiais Gerais (DMG)</t>
  </si>
  <si>
    <t>Despesas Materiais de Tratamento (DMT)</t>
  </si>
  <si>
    <t>Serviços Terceiros (ST)</t>
  </si>
  <si>
    <t>Energia (EE)</t>
  </si>
  <si>
    <t>Despesas Gerais (DG)</t>
  </si>
  <si>
    <t>Despesas Fiscais (DF)</t>
  </si>
  <si>
    <t>Outras Despesas Operacionais (ODO)</t>
  </si>
  <si>
    <t>Vida Útil Restante (Anos)</t>
  </si>
  <si>
    <t>% de Depreciação Anual</t>
  </si>
  <si>
    <t>Depreciação Base de Ativos de 31/12/2020</t>
  </si>
  <si>
    <t>Vida Útil (Anos)</t>
  </si>
  <si>
    <t>Depreciação CAPEX 2021 a 2024</t>
  </si>
  <si>
    <t>Depreciação da Base de Ativos de 31/12/2020</t>
  </si>
  <si>
    <t>Valor Inicial</t>
  </si>
  <si>
    <t>BAR Inicial Bruta</t>
  </si>
  <si>
    <t>Depreciação Base Anual</t>
  </si>
  <si>
    <t>Depreciação do Capex a ser Imobilizado</t>
  </si>
  <si>
    <t>CAPEX Finalizado / Ano</t>
  </si>
  <si>
    <t>CAPEX Finalizado / Acumulado</t>
  </si>
  <si>
    <t>DEPRECIAÇÃO BASE ATIVOS + DEPRECIAÇÃO CAPEX</t>
  </si>
  <si>
    <t>Auxiliar Depreciação Técnica</t>
  </si>
  <si>
    <t>VNR / Deduzido da parte 100% depreciada</t>
  </si>
  <si>
    <t xml:space="preserve">Depreciação </t>
  </si>
  <si>
    <t>Anos de depreciação (média ponderada por VNR)</t>
  </si>
  <si>
    <t>Depreciação Média Anual</t>
  </si>
  <si>
    <t>Vida útil</t>
  </si>
  <si>
    <t>Taxa Média</t>
  </si>
  <si>
    <t>BAR 2020</t>
  </si>
  <si>
    <t>Ponderação / 2020: Vida Útil x VNR Líquido</t>
  </si>
  <si>
    <t>BAR Bruta / 2020</t>
  </si>
  <si>
    <t>Anos Média Ponderada / VNR</t>
  </si>
  <si>
    <t>WACC / (T incidente sobre toda a estrutura de capital (próprio + terceiros)</t>
  </si>
  <si>
    <t>Remuneração de Capital Próprio</t>
  </si>
  <si>
    <t>Taxa Livre de Risco</t>
  </si>
  <si>
    <t>Beta Desalavancado EUA</t>
  </si>
  <si>
    <t>Beta Alavancado BR</t>
  </si>
  <si>
    <t>Risco de Mercado</t>
  </si>
  <si>
    <t>Prêmio de Risco de Mercado</t>
  </si>
  <si>
    <t>Risco País</t>
  </si>
  <si>
    <t>Custo de Capital Próprio Nominal</t>
  </si>
  <si>
    <t>Inflação EUA</t>
  </si>
  <si>
    <t>Custo de Capital Próprio Real</t>
  </si>
  <si>
    <t>Remuneração de Capital de Terceiros</t>
  </si>
  <si>
    <t>Risco de Crédito</t>
  </si>
  <si>
    <t xml:space="preserve">Custo de Capital de Terceiros Nominal </t>
  </si>
  <si>
    <t>Custo de Capital de Terceiros Real</t>
  </si>
  <si>
    <t>Impostos</t>
  </si>
  <si>
    <t>Custo de Capital de Terceiros Real após impostos</t>
  </si>
  <si>
    <t>Estrutura de Capital</t>
  </si>
  <si>
    <t>Capital Próprio</t>
  </si>
  <si>
    <t>Capital de Terceiros</t>
  </si>
  <si>
    <t>WACC</t>
  </si>
  <si>
    <t>Real depois de impostos</t>
  </si>
  <si>
    <t>Real antes de impostos</t>
  </si>
  <si>
    <t>INFORMAÇÃO</t>
  </si>
  <si>
    <t>CUSTO</t>
  </si>
  <si>
    <t>Fator de Produtividade T (Fator X)</t>
  </si>
  <si>
    <t>Variável</t>
  </si>
  <si>
    <t>Resultado</t>
  </si>
  <si>
    <t>OPEX / Receita Projetada</t>
  </si>
  <si>
    <t>Fator de Eficiência (DEA)</t>
  </si>
  <si>
    <t>Período do 2º Ciclo / RTP em Anos</t>
  </si>
  <si>
    <r>
      <t>Componente T</t>
    </r>
    <r>
      <rPr>
        <vertAlign val="subscript"/>
        <sz val="12"/>
        <color theme="1"/>
        <rFont val="Arial Narrow"/>
        <family val="2"/>
      </rPr>
      <t>final</t>
    </r>
  </si>
  <si>
    <t>CUSTOS MÉDIOS PESSOAL</t>
  </si>
  <si>
    <t>Área Operacional</t>
  </si>
  <si>
    <t xml:space="preserve"> Áreas Não Operacionais</t>
  </si>
  <si>
    <r>
      <t>Componente T</t>
    </r>
    <r>
      <rPr>
        <vertAlign val="subscript"/>
        <sz val="12"/>
        <color theme="1"/>
        <rFont val="Arial Narrow"/>
        <family val="2"/>
      </rPr>
      <t>Total</t>
    </r>
  </si>
  <si>
    <t>1/12 da OPEX</t>
  </si>
  <si>
    <t>FLUXO DE CAIXA DESCONTADO / SEM FATOR X</t>
  </si>
  <si>
    <t>Discriminação</t>
  </si>
  <si>
    <t>Valor Presente</t>
  </si>
  <si>
    <t>Ciclo Tarifário - R$ (Dez/20)</t>
  </si>
  <si>
    <t>Volume Faturado (A) - (1.000 m³)</t>
  </si>
  <si>
    <t>Volume Faturado (E) - (1.000 m³)</t>
  </si>
  <si>
    <t>Economias Faturadas (A+Somente E)</t>
  </si>
  <si>
    <t xml:space="preserve">  (+) Receita de Outorga</t>
  </si>
  <si>
    <t xml:space="preserve">  (+) Outras Receitas</t>
  </si>
  <si>
    <t xml:space="preserve">  (-) COFINS / PASEP / DESCONTOS</t>
  </si>
  <si>
    <t xml:space="preserve">  (-) Depreciação (QRR)</t>
  </si>
  <si>
    <t xml:space="preserve">  (-) Receitas Irrecuperáveis</t>
  </si>
  <si>
    <t xml:space="preserve">  (=) Base de Cálculo do IRPJ</t>
  </si>
  <si>
    <t xml:space="preserve">  (-) Imposto de renda/Contrib.Social</t>
  </si>
  <si>
    <t xml:space="preserve">  (-) Investimentos</t>
  </si>
  <si>
    <t xml:space="preserve">  (+) Depreciação (QRR)</t>
  </si>
  <si>
    <t xml:space="preserve">    = Livre Fluxo de Caixa + BAR</t>
  </si>
  <si>
    <t xml:space="preserve">    = Livre Fluxo de Caixa + BAR (Descontados)</t>
  </si>
  <si>
    <t xml:space="preserve">Valor Presente Líquido = </t>
  </si>
  <si>
    <t>Calculado</t>
  </si>
  <si>
    <t>Atual</t>
  </si>
  <si>
    <t xml:space="preserve">Taxa Interna de Retorno (TIR)  = </t>
  </si>
  <si>
    <t>Custo Mínimo Fixo - CMF (R$ / Economia)</t>
  </si>
  <si>
    <t>Tarifa Média Máxima - P0</t>
  </si>
  <si>
    <t xml:space="preserve"> (R$ / m3)</t>
  </si>
  <si>
    <t xml:space="preserve"> (R$ / economia)</t>
  </si>
  <si>
    <t>Tipo Tarifa</t>
  </si>
  <si>
    <t>Receitas Irrecuperáveis</t>
  </si>
  <si>
    <t>ESTIMATIVA DE RECEITAS IRRECUPERÁVEIS (RI) - Jan/16 a Dez/2020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</si>
  <si>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</si>
  <si>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</si>
  <si>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</si>
  <si>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</si>
  <si>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</si>
  <si>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</si>
  <si>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</si>
  <si>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Média do 48º ao 60º Mês / Limitado pela média das demais categorias no 48º ao 60º mês</t>
  </si>
  <si>
    <t>Fonte: Aging List / Janeiro de 2016 a Dezembro de 2020</t>
  </si>
  <si>
    <t>Outras Receitas</t>
  </si>
  <si>
    <t>2020*</t>
  </si>
  <si>
    <t>Receita de Água</t>
  </si>
  <si>
    <t>Receita de Esgoto</t>
  </si>
  <si>
    <t>Receita Total de Água e Esgoto</t>
  </si>
  <si>
    <t>Proporção sobre o Faturamento</t>
  </si>
  <si>
    <t>Receita de Outorga</t>
  </si>
  <si>
    <t>Receita Proveniente do Contrato de Subdelegação dos Serviços de Esgoto as cidades de Aparecida de Goiânia, Jataí, Rio Verde e Trindade, conforme o contrato nº 1327/2013.</t>
  </si>
  <si>
    <t>Evolução</t>
  </si>
  <si>
    <t>Variáveis</t>
  </si>
  <si>
    <t>Var. %</t>
  </si>
  <si>
    <t>Economias Faturadas de Água</t>
  </si>
  <si>
    <t>Economias Faturadas Somente Esgoto</t>
  </si>
  <si>
    <t>Economias Faturadas Totais</t>
  </si>
  <si>
    <t>Faturamento Custo Mínimo Fixo (000)</t>
  </si>
  <si>
    <t>Deduções da Receita Bruta</t>
  </si>
  <si>
    <t>Faturamento (Receita Bruta)</t>
  </si>
  <si>
    <t>Deduções da Receita Bruta (COFINS / PASEP / DESCONTOS)</t>
  </si>
  <si>
    <t xml:space="preserve">  (+) Receita Requerida Direta (Água)</t>
  </si>
  <si>
    <t xml:space="preserve">  (+) Receita Requerida Direta (Esgoto Coletado)</t>
  </si>
  <si>
    <t xml:space="preserve">  (+) Receita Requerida Direta (Esgoto Tratado)</t>
  </si>
  <si>
    <t xml:space="preserve">  (+) Receita Requerida Direta (Tarifa Básica)</t>
  </si>
  <si>
    <t>Tarifa Básica - Custo Mínimo Fixo (CMF)</t>
  </si>
  <si>
    <t>Tarifa Básica Anual / Economia</t>
  </si>
  <si>
    <t>Tarifa Básica Mensal / Economia</t>
  </si>
  <si>
    <t xml:space="preserve">  (-) Despesas Operacionais (OPEX)</t>
  </si>
  <si>
    <t xml:space="preserve">  (=) Receita Requerida Direta (Total)</t>
  </si>
  <si>
    <t xml:space="preserve">  (-) Variação do Capital de Giro</t>
  </si>
  <si>
    <t xml:space="preserve">  (-) Base de Capital Inicial - BAR0</t>
  </si>
  <si>
    <t xml:space="preserve">  (+) Base de Capital Final - BARt</t>
  </si>
  <si>
    <t>Receita sem Eficiência</t>
  </si>
  <si>
    <t>Receita Eficiente (Fator X)</t>
  </si>
  <si>
    <t>Diferença</t>
  </si>
  <si>
    <t>Fator X</t>
  </si>
  <si>
    <t>Redução Opex (DEA)</t>
  </si>
  <si>
    <t>FLUXO DE CAIXA DESCONTADO / COM FATOR X DE EFICIÊNCIA NO OPEX</t>
  </si>
  <si>
    <t>CAPEX: a Imobilizar / Nominal</t>
  </si>
  <si>
    <t>SISTEMAS</t>
  </si>
  <si>
    <t>ÁGUA (SAA)</t>
  </si>
  <si>
    <t>ESGOTO (SES)</t>
  </si>
  <si>
    <t>TOTAL A IMOBILIZAR</t>
  </si>
  <si>
    <t>RELAÇÃO POR OBRA/PROJETO/CIDADE</t>
  </si>
  <si>
    <t>Previsão de Inflação</t>
  </si>
  <si>
    <t>ÍNDICE</t>
  </si>
  <si>
    <t>Média  / Ano</t>
  </si>
  <si>
    <t>IPCA / IBGE</t>
  </si>
  <si>
    <t>CAPEX: a Imobilizar / Real</t>
  </si>
  <si>
    <t xml:space="preserve">  (-) Investimentos (CAPEX)</t>
  </si>
  <si>
    <r>
      <t>mil m</t>
    </r>
    <r>
      <rPr>
        <vertAlign val="superscript"/>
        <sz val="11"/>
        <color rgb="FF000000"/>
        <rFont val="Arial"/>
        <family val="2"/>
      </rPr>
      <t>3</t>
    </r>
  </si>
  <si>
    <t>mil R$</t>
  </si>
  <si>
    <t>OPEX Projetado (2021 a 2024)</t>
  </si>
  <si>
    <t>Volume Tratado (E) - (1.000 m³)</t>
  </si>
  <si>
    <t>Volume Coletado e Faturado (E) - (1.000 m³)</t>
  </si>
  <si>
    <t>Receita Projetada (2021 a 2024)</t>
  </si>
  <si>
    <t>BASE DE ATIVOS REGULATÓRIOS: Laudo Dez/18 atualizado para Dez/20</t>
  </si>
  <si>
    <t>Mês</t>
  </si>
  <si>
    <t>Índice</t>
  </si>
  <si>
    <t>IPCA Acumulado</t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</si>
  <si>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preliminar</t>
    </r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</si>
  <si>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Final</t>
    </r>
  </si>
  <si>
    <t>Capital de Giro Ano Base (2020)</t>
  </si>
  <si>
    <r>
      <t>BASE DE ATIVOS REGULATÓR</t>
    </r>
    <r>
      <rPr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BLINDADA - 2º CICLO DE REVISÃO PERIÓDICA TARIFÁRIA DA SANEAGO</t>
    </r>
  </si>
  <si>
    <t>Quantitativo Pessoal Próprio Operacional</t>
  </si>
  <si>
    <t>Anual</t>
  </si>
  <si>
    <t>Média</t>
  </si>
  <si>
    <t>Fonte: Boletim Fócus BACEN / 15-10-2021</t>
  </si>
  <si>
    <t>PESSOAL</t>
  </si>
  <si>
    <t>MATERIAIS GERAIS</t>
  </si>
  <si>
    <t>MATERIAIS DE TRATAMENTO</t>
  </si>
  <si>
    <t>SERVIÇOS DE TERCEIROS</t>
  </si>
  <si>
    <t>ENERGIA</t>
  </si>
  <si>
    <t>DESPESAS GERAIS</t>
  </si>
  <si>
    <t>DESPESAS TRIBUTÁRIAS</t>
  </si>
  <si>
    <t>OUTRAS DESPESAS OPERACIONAIS</t>
  </si>
  <si>
    <t>Projeções de OPEX - Nota Técnica nº 06/2021</t>
  </si>
  <si>
    <t>Diferenças Percentuais CAPEX Projetado - SANEAGO x AGR/AR</t>
  </si>
  <si>
    <t>BAR 0 + Capital de Giro Ano Base (2020)</t>
  </si>
  <si>
    <t>BAR 0</t>
  </si>
  <si>
    <t>BAR Atualizado / 2020</t>
  </si>
  <si>
    <t>BAR Atualizado / 2018</t>
  </si>
  <si>
    <t>BAR  (t-1)</t>
  </si>
  <si>
    <t>Simulação do Índice de Recomposição Tarifária</t>
  </si>
  <si>
    <t>PROJEÇÃO DADOS OPERACIONAIS - 2021 - 2024</t>
  </si>
  <si>
    <t>PROJEÇÃO OPEX - 2021 - 2024</t>
  </si>
  <si>
    <t>Base de Ativos Regulatória (BAR)</t>
  </si>
  <si>
    <t>Comparativo OPEX proijetada - SANEAGO x AGR-AR</t>
  </si>
  <si>
    <t>IPCA / IBGE (acumulado)</t>
  </si>
  <si>
    <t>Ponderação / Incrementral: Vida Útil x VNR Líquido</t>
  </si>
  <si>
    <t>Ponderação / 2020 + Incrementra</t>
  </si>
  <si>
    <t>P0 atualizado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</si>
</sst>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R$&quot;\ #,##0;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_);_(@_)"/>
    <numFmt numFmtId="166" formatCode="_(* #,##0_);_(* \(#,##0\);_(* &quot;-&quot;??_);_(@_)"/>
    <numFmt numFmtId="167" formatCode="_(* #,##0.00_);_(* \(#,##0.00\);_(* &quot;-&quot;??_);_(@_)"/>
    <numFmt numFmtId="168" formatCode="0.0%_);\(0.0%\);0.0%_);@_)"/>
    <numFmt numFmtId="169" formatCode="#,##0.00000"/>
    <numFmt numFmtId="170" formatCode="0_);\(0\)"/>
    <numFmt numFmtId="171" formatCode="_(* #,##0.000000_);_(* \(#,##0.000000\);_(* &quot;-&quot;??_);_(@_)"/>
    <numFmt numFmtId="172" formatCode="#,##0.000"/>
    <numFmt numFmtId="173" formatCode="_-* #,##0_-;\-* #,##0_-;_-* &quot;-&quot;??_-;_-@_-"/>
    <numFmt numFmtId="174" formatCode="#,##0_ ;\-#,##0\ "/>
    <numFmt numFmtId="175" formatCode="0.0000"/>
    <numFmt numFmtId="176" formatCode="0.000%"/>
    <numFmt numFmtId="177" formatCode="0.000000%"/>
    <numFmt numFmtId="178" formatCode="_ * #,##0_ ;_ * \-#,##0_ ;_ * &quot;-&quot;??_ ;_ @_ "/>
    <numFmt numFmtId="179" formatCode="#,##0.00_ ;\-#,##0.00\ "/>
    <numFmt numFmtId="180" formatCode="#,##0.0000_ ;\-#,##0.0000\ "/>
    <numFmt numFmtId="181" formatCode="0.0000%"/>
    <numFmt numFmtId="182" formatCode="#,##0.000_ ;\-#,##0.000\ "/>
    <numFmt numFmtId="183" formatCode="#,##0.0000"/>
    <numFmt numFmtId="184" formatCode="_ * #,##0.0000_ ;_ * \-#,##0.0000_ ;_ * &quot;-&quot;??_ ;_ @_ 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u/>
      <sz val="11"/>
      <color theme="10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"/>
      <family val="2"/>
    </font>
    <font>
      <b/>
      <u/>
      <sz val="12"/>
      <color theme="1"/>
      <name val="Arial Narrow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  <font>
      <sz val="12"/>
      <color rgb="FFFF000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0"/>
      <name val="Arial"/>
      <family val="2"/>
    </font>
    <font>
      <b/>
      <u/>
      <sz val="11"/>
      <color theme="0"/>
      <name val="Arial Narrow"/>
      <family val="2"/>
    </font>
    <font>
      <b/>
      <u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9">
    <xf numFmtId="0" fontId="0" fillId="0" borderId="0" xfId="0"/>
    <xf numFmtId="0" fontId="3" fillId="0" borderId="0" xfId="3" applyFont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2" fillId="4" borderId="15" xfId="3" applyFont="1" applyFill="1" applyBorder="1" applyAlignment="1">
      <alignment horizontal="left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/>
    </xf>
    <xf numFmtId="0" fontId="5" fillId="0" borderId="18" xfId="3" applyFont="1" applyBorder="1" applyAlignment="1">
      <alignment vertical="center"/>
    </xf>
    <xf numFmtId="3" fontId="5" fillId="0" borderId="19" xfId="3" applyNumberFormat="1" applyFont="1" applyBorder="1" applyAlignment="1">
      <alignment horizontal="center" vertical="center"/>
    </xf>
    <xf numFmtId="3" fontId="5" fillId="0" borderId="20" xfId="3" applyNumberFormat="1" applyFont="1" applyBorder="1" applyAlignment="1">
      <alignment horizontal="center" vertical="center"/>
    </xf>
    <xf numFmtId="0" fontId="6" fillId="5" borderId="21" xfId="3" applyFont="1" applyFill="1" applyBorder="1" applyAlignment="1">
      <alignment vertical="center"/>
    </xf>
    <xf numFmtId="3" fontId="6" fillId="5" borderId="22" xfId="3" applyNumberFormat="1" applyFont="1" applyFill="1" applyBorder="1" applyAlignment="1">
      <alignment horizontal="center" vertical="center"/>
    </xf>
    <xf numFmtId="3" fontId="6" fillId="5" borderId="23" xfId="3" applyNumberFormat="1" applyFont="1" applyFill="1" applyBorder="1" applyAlignment="1">
      <alignment horizontal="center" vertical="center"/>
    </xf>
    <xf numFmtId="10" fontId="4" fillId="3" borderId="0" xfId="3" applyNumberFormat="1" applyFont="1" applyFill="1" applyAlignment="1">
      <alignment horizontal="center" vertical="center"/>
    </xf>
    <xf numFmtId="0" fontId="3" fillId="3" borderId="0" xfId="3" applyFont="1" applyFill="1" applyAlignment="1">
      <alignment vertical="center"/>
    </xf>
    <xf numFmtId="0" fontId="7" fillId="3" borderId="0" xfId="5" applyNumberFormat="1" applyFont="1" applyFill="1" applyBorder="1" applyAlignment="1">
      <alignment horizontal="center" vertical="center"/>
    </xf>
    <xf numFmtId="3" fontId="4" fillId="3" borderId="0" xfId="3" applyNumberFormat="1" applyFont="1" applyFill="1" applyAlignment="1">
      <alignment horizontal="center" vertical="center"/>
    </xf>
    <xf numFmtId="3" fontId="4" fillId="3" borderId="0" xfId="3" applyNumberFormat="1" applyFont="1" applyFill="1" applyAlignment="1">
      <alignment vertical="center"/>
    </xf>
    <xf numFmtId="3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3" fontId="9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37" fontId="10" fillId="0" borderId="0" xfId="3" applyNumberFormat="1" applyFont="1" applyAlignment="1">
      <alignment horizontal="center" vertical="center"/>
    </xf>
    <xf numFmtId="37" fontId="10" fillId="0" borderId="0" xfId="3" applyNumberFormat="1" applyFont="1" applyAlignment="1">
      <alignment vertical="center"/>
    </xf>
    <xf numFmtId="3" fontId="2" fillId="0" borderId="0" xfId="3" applyNumberFormat="1" applyFont="1" applyAlignment="1">
      <alignment horizontal="center" vertical="center"/>
    </xf>
    <xf numFmtId="5" fontId="10" fillId="0" borderId="0" xfId="3" applyNumberFormat="1" applyFont="1" applyAlignment="1">
      <alignment horizontal="center" vertical="center"/>
    </xf>
    <xf numFmtId="5" fontId="10" fillId="0" borderId="0" xfId="3" applyNumberFormat="1" applyFont="1" applyAlignment="1">
      <alignment vertical="center"/>
    </xf>
    <xf numFmtId="164" fontId="11" fillId="0" borderId="0" xfId="3" applyNumberFormat="1" applyFont="1" applyAlignment="1">
      <alignment horizontal="center" vertical="center"/>
    </xf>
    <xf numFmtId="164" fontId="11" fillId="0" borderId="0" xfId="3" applyNumberFormat="1" applyFont="1" applyAlignment="1">
      <alignment vertical="center"/>
    </xf>
    <xf numFmtId="41" fontId="10" fillId="0" borderId="0" xfId="3" applyNumberFormat="1" applyFont="1" applyAlignment="1">
      <alignment horizontal="center" vertical="center"/>
    </xf>
    <xf numFmtId="41" fontId="10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37" fontId="12" fillId="0" borderId="0" xfId="3" applyNumberFormat="1" applyFont="1" applyAlignment="1">
      <alignment horizontal="center" vertical="center"/>
    </xf>
    <xf numFmtId="41" fontId="12" fillId="0" borderId="0" xfId="3" applyNumberFormat="1" applyFont="1" applyAlignment="1">
      <alignment vertical="center"/>
    </xf>
    <xf numFmtId="41" fontId="12" fillId="0" borderId="0" xfId="3" applyNumberFormat="1" applyFont="1" applyAlignment="1">
      <alignment horizontal="center" vertical="center"/>
    </xf>
    <xf numFmtId="5" fontId="12" fillId="0" borderId="0" xfId="3" applyNumberFormat="1" applyFont="1" applyAlignment="1">
      <alignment horizontal="center" vertical="center"/>
    </xf>
    <xf numFmtId="41" fontId="5" fillId="0" borderId="0" xfId="3" applyNumberFormat="1" applyFont="1" applyAlignment="1">
      <alignment vertical="center"/>
    </xf>
    <xf numFmtId="41" fontId="5" fillId="0" borderId="0" xfId="3" applyNumberFormat="1" applyFont="1" applyAlignment="1">
      <alignment horizontal="center" vertical="center"/>
    </xf>
    <xf numFmtId="164" fontId="13" fillId="0" borderId="0" xfId="3" applyNumberFormat="1" applyFont="1" applyAlignment="1">
      <alignment horizontal="center" vertical="center"/>
    </xf>
    <xf numFmtId="41" fontId="14" fillId="0" borderId="0" xfId="3" applyNumberFormat="1" applyFont="1" applyAlignment="1">
      <alignment horizontal="center" vertical="center"/>
    </xf>
    <xf numFmtId="41" fontId="14" fillId="0" borderId="0" xfId="3" applyNumberFormat="1" applyFont="1" applyAlignment="1">
      <alignment vertical="center"/>
    </xf>
    <xf numFmtId="41" fontId="2" fillId="0" borderId="0" xfId="3" applyNumberFormat="1" applyFont="1" applyAlignment="1">
      <alignment horizontal="center" vertical="center"/>
    </xf>
    <xf numFmtId="41" fontId="2" fillId="0" borderId="0" xfId="3" applyNumberFormat="1" applyFont="1" applyAlignment="1">
      <alignment vertical="center"/>
    </xf>
    <xf numFmtId="0" fontId="15" fillId="0" borderId="0" xfId="3" applyFont="1" applyAlignment="1">
      <alignment vertical="center" textRotation="90"/>
    </xf>
    <xf numFmtId="3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3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4" borderId="1" xfId="3" applyFont="1" applyFill="1" applyBorder="1" applyAlignment="1">
      <alignment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vertical="center"/>
    </xf>
    <xf numFmtId="0" fontId="5" fillId="5" borderId="0" xfId="3" applyFont="1" applyFill="1" applyAlignment="1">
      <alignment horizontal="center" vertical="center"/>
    </xf>
    <xf numFmtId="3" fontId="5" fillId="5" borderId="0" xfId="3" applyNumberFormat="1" applyFont="1" applyFill="1" applyAlignment="1">
      <alignment horizontal="center" vertical="center"/>
    </xf>
    <xf numFmtId="0" fontId="3" fillId="3" borderId="5" xfId="3" applyFont="1" applyFill="1" applyBorder="1" applyAlignment="1">
      <alignment vertical="center"/>
    </xf>
    <xf numFmtId="3" fontId="3" fillId="3" borderId="0" xfId="3" applyNumberFormat="1" applyFont="1" applyFill="1" applyAlignment="1">
      <alignment horizontal="center" vertical="center"/>
    </xf>
    <xf numFmtId="3" fontId="3" fillId="3" borderId="6" xfId="3" applyNumberFormat="1" applyFont="1" applyFill="1" applyBorder="1" applyAlignment="1">
      <alignment horizontal="center" vertical="center"/>
    </xf>
    <xf numFmtId="0" fontId="3" fillId="5" borderId="5" xfId="3" applyFont="1" applyFill="1" applyBorder="1" applyAlignment="1">
      <alignment vertical="center"/>
    </xf>
    <xf numFmtId="0" fontId="3" fillId="5" borderId="0" xfId="3" applyFont="1" applyFill="1" applyAlignment="1">
      <alignment horizontal="center" vertical="center"/>
    </xf>
    <xf numFmtId="10" fontId="3" fillId="5" borderId="0" xfId="3" applyNumberFormat="1" applyFont="1" applyFill="1" applyAlignment="1">
      <alignment horizontal="center" vertical="center"/>
    </xf>
    <xf numFmtId="10" fontId="3" fillId="5" borderId="6" xfId="3" applyNumberFormat="1" applyFont="1" applyFill="1" applyBorder="1" applyAlignment="1">
      <alignment horizontal="center" vertical="center"/>
    </xf>
    <xf numFmtId="3" fontId="3" fillId="5" borderId="0" xfId="3" applyNumberFormat="1" applyFont="1" applyFill="1" applyAlignment="1">
      <alignment horizontal="center" vertical="center"/>
    </xf>
    <xf numFmtId="3" fontId="3" fillId="5" borderId="6" xfId="3" applyNumberFormat="1" applyFont="1" applyFill="1" applyBorder="1" applyAlignment="1">
      <alignment horizontal="center" vertical="center"/>
    </xf>
    <xf numFmtId="9" fontId="3" fillId="3" borderId="0" xfId="3" applyNumberFormat="1" applyFont="1" applyFill="1" applyAlignment="1">
      <alignment horizontal="center" vertical="center"/>
    </xf>
    <xf numFmtId="9" fontId="3" fillId="3" borderId="6" xfId="3" applyNumberFormat="1" applyFont="1" applyFill="1" applyBorder="1" applyAlignment="1">
      <alignment horizontal="center" vertical="center"/>
    </xf>
    <xf numFmtId="0" fontId="5" fillId="5" borderId="10" xfId="3" applyFont="1" applyFill="1" applyBorder="1" applyAlignment="1">
      <alignment vertical="center"/>
    </xf>
    <xf numFmtId="0" fontId="5" fillId="5" borderId="11" xfId="3" applyFont="1" applyFill="1" applyBorder="1" applyAlignment="1">
      <alignment horizontal="center" vertical="center"/>
    </xf>
    <xf numFmtId="3" fontId="5" fillId="5" borderId="11" xfId="3" applyNumberFormat="1" applyFont="1" applyFill="1" applyBorder="1" applyAlignment="1">
      <alignment horizontal="center" vertical="center"/>
    </xf>
    <xf numFmtId="3" fontId="5" fillId="5" borderId="12" xfId="3" applyNumberFormat="1" applyFont="1" applyFill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3" fillId="3" borderId="7" xfId="3" applyFont="1" applyFill="1" applyBorder="1" applyAlignment="1">
      <alignment vertical="center"/>
    </xf>
    <xf numFmtId="0" fontId="3" fillId="3" borderId="8" xfId="3" applyFont="1" applyFill="1" applyBorder="1" applyAlignment="1">
      <alignment horizontal="center" vertical="center"/>
    </xf>
    <xf numFmtId="10" fontId="3" fillId="3" borderId="8" xfId="3" applyNumberFormat="1" applyFont="1" applyFill="1" applyBorder="1" applyAlignment="1">
      <alignment horizontal="center" vertical="center"/>
    </xf>
    <xf numFmtId="10" fontId="3" fillId="3" borderId="9" xfId="3" applyNumberFormat="1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3" fillId="0" borderId="13" xfId="3" applyFont="1" applyBorder="1" applyAlignment="1">
      <alignment vertical="center"/>
    </xf>
    <xf numFmtId="0" fontId="6" fillId="0" borderId="13" xfId="3" applyFont="1" applyBorder="1" applyAlignment="1">
      <alignment horizontal="left" vertical="center"/>
    </xf>
    <xf numFmtId="0" fontId="27" fillId="0" borderId="13" xfId="3" applyFont="1" applyBorder="1" applyAlignment="1">
      <alignment vertical="center" wrapText="1"/>
    </xf>
    <xf numFmtId="0" fontId="6" fillId="0" borderId="0" xfId="3" applyFont="1" applyAlignment="1">
      <alignment horizontal="right" vertical="center"/>
    </xf>
    <xf numFmtId="0" fontId="2" fillId="0" borderId="14" xfId="3" applyFont="1" applyBorder="1" applyAlignment="1">
      <alignment horizontal="left" vertical="center"/>
    </xf>
    <xf numFmtId="164" fontId="13" fillId="0" borderId="0" xfId="3" applyNumberFormat="1" applyFont="1" applyAlignment="1">
      <alignment vertical="center"/>
    </xf>
    <xf numFmtId="0" fontId="2" fillId="4" borderId="2" xfId="3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37" fontId="6" fillId="0" borderId="0" xfId="3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165" fontId="12" fillId="0" borderId="0" xfId="3" applyNumberFormat="1" applyFont="1" applyAlignment="1">
      <alignment vertical="center"/>
    </xf>
    <xf numFmtId="0" fontId="2" fillId="7" borderId="0" xfId="3" applyFont="1" applyFill="1" applyAlignment="1">
      <alignment horizontal="centerContinuous" vertical="center"/>
    </xf>
    <xf numFmtId="0" fontId="29" fillId="7" borderId="0" xfId="3" applyFont="1" applyFill="1" applyAlignment="1">
      <alignment horizontal="centerContinuous" vertical="center"/>
    </xf>
    <xf numFmtId="0" fontId="2" fillId="7" borderId="0" xfId="3" applyFont="1" applyFill="1" applyAlignment="1">
      <alignment horizontal="center" vertical="center"/>
    </xf>
    <xf numFmtId="0" fontId="30" fillId="0" borderId="0" xfId="3" applyFont="1" applyAlignment="1">
      <alignment vertical="center"/>
    </xf>
    <xf numFmtId="166" fontId="30" fillId="0" borderId="0" xfId="3" applyNumberFormat="1" applyFont="1" applyAlignment="1">
      <alignment vertical="center"/>
    </xf>
    <xf numFmtId="0" fontId="31" fillId="0" borderId="0" xfId="3" applyFont="1" applyAlignment="1">
      <alignment vertical="center"/>
    </xf>
    <xf numFmtId="166" fontId="31" fillId="0" borderId="0" xfId="7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>
      <alignment vertical="center"/>
    </xf>
    <xf numFmtId="166" fontId="33" fillId="0" borderId="0" xfId="7" applyNumberFormat="1" applyFont="1" applyFill="1" applyBorder="1" applyAlignment="1" applyProtection="1">
      <alignment vertical="center"/>
      <protection locked="0"/>
    </xf>
    <xf numFmtId="166" fontId="32" fillId="0" borderId="0" xfId="7" applyNumberFormat="1" applyFont="1" applyBorder="1" applyAlignment="1" applyProtection="1">
      <alignment vertical="center"/>
      <protection locked="0"/>
    </xf>
    <xf numFmtId="166" fontId="32" fillId="0" borderId="0" xfId="7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 applyProtection="1">
      <alignment vertical="center"/>
      <protection locked="0"/>
    </xf>
    <xf numFmtId="166" fontId="26" fillId="0" borderId="0" xfId="0" applyNumberFormat="1" applyFont="1" applyAlignment="1">
      <alignment vertical="center"/>
    </xf>
    <xf numFmtId="0" fontId="6" fillId="7" borderId="0" xfId="3" applyFont="1" applyFill="1" applyAlignment="1">
      <alignment vertical="center"/>
    </xf>
    <xf numFmtId="166" fontId="6" fillId="7" borderId="0" xfId="7" applyNumberFormat="1" applyFont="1" applyFill="1" applyBorder="1" applyAlignment="1" applyProtection="1">
      <alignment vertical="center"/>
      <protection locked="0"/>
    </xf>
    <xf numFmtId="166" fontId="32" fillId="0" borderId="0" xfId="4" applyNumberFormat="1" applyFont="1" applyFill="1" applyBorder="1" applyAlignment="1" applyProtection="1">
      <alignment vertical="center"/>
      <protection locked="0"/>
    </xf>
    <xf numFmtId="0" fontId="34" fillId="0" borderId="0" xfId="6" applyFont="1" applyAlignment="1">
      <alignment vertical="center"/>
    </xf>
    <xf numFmtId="167" fontId="26" fillId="0" borderId="0" xfId="0" applyNumberFormat="1" applyFont="1" applyAlignment="1">
      <alignment vertical="center"/>
    </xf>
    <xf numFmtId="167" fontId="5" fillId="0" borderId="0" xfId="7" applyFont="1" applyFill="1" applyBorder="1" applyAlignment="1">
      <alignment vertical="center"/>
    </xf>
    <xf numFmtId="168" fontId="5" fillId="0" borderId="0" xfId="7" applyNumberFormat="1" applyFont="1" applyFill="1" applyBorder="1" applyAlignment="1">
      <alignment vertical="center"/>
    </xf>
    <xf numFmtId="0" fontId="6" fillId="0" borderId="0" xfId="3" applyFont="1" applyAlignment="1" applyProtection="1">
      <alignment vertical="center"/>
      <protection locked="0"/>
    </xf>
    <xf numFmtId="166" fontId="12" fillId="0" borderId="0" xfId="7" applyNumberFormat="1" applyFont="1" applyFill="1" applyBorder="1" applyAlignment="1">
      <alignment vertical="center"/>
    </xf>
    <xf numFmtId="0" fontId="5" fillId="0" borderId="0" xfId="3" applyFont="1" applyAlignment="1" applyProtection="1">
      <alignment vertical="center"/>
      <protection locked="0"/>
    </xf>
    <xf numFmtId="0" fontId="6" fillId="8" borderId="0" xfId="3" applyFont="1" applyFill="1" applyAlignment="1">
      <alignment vertical="center"/>
    </xf>
    <xf numFmtId="166" fontId="6" fillId="8" borderId="0" xfId="7" applyNumberFormat="1" applyFont="1" applyFill="1" applyBorder="1" applyAlignment="1" applyProtection="1">
      <alignment vertical="center"/>
      <protection locked="0"/>
    </xf>
    <xf numFmtId="4" fontId="3" fillId="0" borderId="0" xfId="3" applyNumberFormat="1" applyFont="1" applyAlignment="1">
      <alignment vertical="center"/>
    </xf>
    <xf numFmtId="169" fontId="3" fillId="0" borderId="0" xfId="3" applyNumberFormat="1" applyFont="1" applyAlignment="1">
      <alignment vertical="center"/>
    </xf>
    <xf numFmtId="0" fontId="31" fillId="0" borderId="0" xfId="3" applyFont="1" applyAlignment="1" applyProtection="1">
      <alignment vertical="center"/>
      <protection locked="0"/>
    </xf>
    <xf numFmtId="166" fontId="35" fillId="0" borderId="0" xfId="7" applyNumberFormat="1" applyFont="1" applyFill="1" applyBorder="1" applyAlignment="1" applyProtection="1">
      <alignment vertical="center"/>
      <protection locked="0"/>
    </xf>
    <xf numFmtId="10" fontId="35" fillId="0" borderId="0" xfId="2" applyNumberFormat="1" applyFont="1" applyFill="1" applyBorder="1" applyAlignment="1" applyProtection="1">
      <alignment vertical="center"/>
      <protection locked="0"/>
    </xf>
    <xf numFmtId="166" fontId="33" fillId="0" borderId="0" xfId="7" applyNumberFormat="1" applyFont="1" applyBorder="1" applyAlignment="1" applyProtection="1">
      <alignment vertical="center"/>
      <protection locked="0"/>
    </xf>
    <xf numFmtId="0" fontId="35" fillId="0" borderId="0" xfId="3" applyFont="1" applyAlignment="1">
      <alignment vertical="center"/>
    </xf>
    <xf numFmtId="166" fontId="35" fillId="0" borderId="0" xfId="3" applyNumberFormat="1" applyFont="1" applyAlignment="1">
      <alignment vertical="center"/>
    </xf>
    <xf numFmtId="166" fontId="33" fillId="0" borderId="0" xfId="7" applyNumberFormat="1" applyFont="1" applyAlignment="1">
      <alignment vertical="center"/>
    </xf>
    <xf numFmtId="0" fontId="5" fillId="8" borderId="0" xfId="3" applyFont="1" applyFill="1" applyAlignment="1">
      <alignment vertical="center"/>
    </xf>
    <xf numFmtId="0" fontId="32" fillId="0" borderId="0" xfId="3" applyFont="1" applyAlignment="1">
      <alignment horizontal="left" vertical="center"/>
    </xf>
    <xf numFmtId="168" fontId="32" fillId="0" borderId="0" xfId="7" applyNumberFormat="1" applyFont="1" applyBorder="1" applyAlignment="1" applyProtection="1">
      <alignment vertical="center"/>
      <protection locked="0"/>
    </xf>
    <xf numFmtId="166" fontId="3" fillId="0" borderId="0" xfId="3" applyNumberFormat="1" applyFont="1" applyAlignment="1">
      <alignment vertical="center"/>
    </xf>
    <xf numFmtId="170" fontId="32" fillId="0" borderId="0" xfId="7" applyNumberFormat="1" applyFont="1" applyBorder="1" applyAlignment="1" applyProtection="1">
      <alignment vertical="center"/>
      <protection locked="0"/>
    </xf>
    <xf numFmtId="166" fontId="36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6" fontId="4" fillId="8" borderId="0" xfId="7" applyNumberFormat="1" applyFont="1" applyFill="1" applyBorder="1" applyAlignment="1" applyProtection="1">
      <alignment vertical="center"/>
      <protection locked="0"/>
    </xf>
    <xf numFmtId="164" fontId="32" fillId="0" borderId="0" xfId="4" applyNumberFormat="1" applyFont="1" applyBorder="1" applyAlignment="1" applyProtection="1">
      <alignment vertical="center"/>
      <protection locked="0"/>
    </xf>
    <xf numFmtId="171" fontId="3" fillId="0" borderId="0" xfId="3" applyNumberFormat="1" applyFont="1" applyAlignment="1">
      <alignment vertical="center"/>
    </xf>
    <xf numFmtId="166" fontId="37" fillId="0" borderId="0" xfId="7" applyNumberFormat="1" applyFont="1" applyFill="1" applyAlignment="1">
      <alignment vertical="center"/>
    </xf>
    <xf numFmtId="166" fontId="32" fillId="0" borderId="0" xfId="7" applyNumberFormat="1" applyFont="1" applyFill="1" applyBorder="1" applyAlignment="1" applyProtection="1">
      <alignment horizontal="right" vertical="center"/>
      <protection locked="0"/>
    </xf>
    <xf numFmtId="166" fontId="37" fillId="0" borderId="0" xfId="7" applyNumberFormat="1" applyFont="1" applyFill="1" applyBorder="1" applyAlignment="1" applyProtection="1">
      <alignment vertical="center"/>
      <protection locked="0"/>
    </xf>
    <xf numFmtId="0" fontId="5" fillId="7" borderId="0" xfId="3" applyFont="1" applyFill="1" applyAlignment="1">
      <alignment vertical="center"/>
    </xf>
    <xf numFmtId="166" fontId="38" fillId="0" borderId="0" xfId="7" applyNumberFormat="1" applyFont="1" applyFill="1" applyBorder="1" applyAlignment="1" applyProtection="1">
      <alignment vertical="center"/>
      <protection locked="0"/>
    </xf>
    <xf numFmtId="166" fontId="31" fillId="0" borderId="0" xfId="3" applyNumberFormat="1" applyFont="1" applyAlignment="1" applyProtection="1">
      <alignment vertical="center"/>
      <protection locked="0"/>
    </xf>
    <xf numFmtId="166" fontId="32" fillId="0" borderId="0" xfId="3" applyNumberFormat="1" applyFont="1" applyAlignment="1" applyProtection="1">
      <alignment vertical="center"/>
      <protection locked="0"/>
    </xf>
    <xf numFmtId="0" fontId="40" fillId="8" borderId="19" xfId="0" applyFont="1" applyFill="1" applyBorder="1" applyAlignment="1">
      <alignment horizontal="center" vertical="center" wrapText="1"/>
    </xf>
    <xf numFmtId="0" fontId="41" fillId="8" borderId="19" xfId="0" applyFont="1" applyFill="1" applyBorder="1" applyAlignment="1">
      <alignment horizontal="center" vertical="center" wrapText="1"/>
    </xf>
    <xf numFmtId="1" fontId="41" fillId="8" borderId="19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43" fontId="26" fillId="0" borderId="25" xfId="1" applyFont="1" applyFill="1" applyBorder="1" applyAlignment="1">
      <alignment horizontal="right" vertical="center" wrapText="1"/>
    </xf>
    <xf numFmtId="43" fontId="26" fillId="10" borderId="25" xfId="1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43" fontId="26" fillId="0" borderId="19" xfId="1" applyFont="1" applyFill="1" applyBorder="1" applyAlignment="1">
      <alignment horizontal="right" vertical="center" wrapText="1"/>
    </xf>
    <xf numFmtId="43" fontId="26" fillId="10" borderId="19" xfId="1" applyFont="1" applyFill="1" applyBorder="1" applyAlignment="1">
      <alignment horizontal="right" vertical="center" wrapText="1"/>
    </xf>
    <xf numFmtId="43" fontId="42" fillId="0" borderId="19" xfId="1" applyFont="1" applyFill="1" applyBorder="1" applyAlignment="1">
      <alignment horizontal="right" vertical="center" wrapText="1"/>
    </xf>
    <xf numFmtId="43" fontId="43" fillId="0" borderId="19" xfId="1" applyFont="1" applyFill="1" applyBorder="1" applyAlignment="1">
      <alignment horizontal="right" vertical="center" wrapText="1"/>
    </xf>
    <xf numFmtId="43" fontId="44" fillId="0" borderId="19" xfId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43" fontId="26" fillId="0" borderId="26" xfId="1" applyFont="1" applyFill="1" applyBorder="1" applyAlignment="1">
      <alignment horizontal="right" vertical="center" wrapText="1"/>
    </xf>
    <xf numFmtId="43" fontId="26" fillId="10" borderId="26" xfId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3" fontId="26" fillId="0" borderId="0" xfId="1" applyFont="1" applyFill="1" applyBorder="1" applyAlignment="1">
      <alignment horizontal="right" vertical="center" wrapText="1"/>
    </xf>
    <xf numFmtId="4" fontId="26" fillId="0" borderId="0" xfId="0" quotePrefix="1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5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/>
    </xf>
    <xf numFmtId="0" fontId="26" fillId="5" borderId="35" xfId="0" applyFont="1" applyFill="1" applyBorder="1" applyAlignment="1">
      <alignment horizontal="center"/>
    </xf>
    <xf numFmtId="0" fontId="48" fillId="5" borderId="30" xfId="0" applyFont="1" applyFill="1" applyBorder="1" applyAlignment="1">
      <alignment horizontal="center" vertical="center" wrapText="1"/>
    </xf>
    <xf numFmtId="4" fontId="26" fillId="5" borderId="36" xfId="0" applyNumberFormat="1" applyFont="1" applyFill="1" applyBorder="1" applyAlignment="1">
      <alignment horizontal="center"/>
    </xf>
    <xf numFmtId="2" fontId="26" fillId="0" borderId="0" xfId="0" applyNumberFormat="1" applyFont="1"/>
    <xf numFmtId="0" fontId="26" fillId="5" borderId="37" xfId="0" applyFont="1" applyFill="1" applyBorder="1" applyAlignment="1">
      <alignment horizontal="center"/>
    </xf>
    <xf numFmtId="0" fontId="48" fillId="5" borderId="38" xfId="0" applyFont="1" applyFill="1" applyBorder="1" applyAlignment="1">
      <alignment horizontal="center" vertical="center" wrapText="1"/>
    </xf>
    <xf numFmtId="4" fontId="26" fillId="5" borderId="39" xfId="0" applyNumberFormat="1" applyFont="1" applyFill="1" applyBorder="1" applyAlignment="1">
      <alignment horizontal="center"/>
    </xf>
    <xf numFmtId="4" fontId="48" fillId="0" borderId="36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 wrapText="1"/>
    </xf>
    <xf numFmtId="0" fontId="2" fillId="4" borderId="2" xfId="3" applyFont="1" applyFill="1" applyBorder="1" applyAlignment="1">
      <alignment vertical="center"/>
    </xf>
    <xf numFmtId="3" fontId="3" fillId="5" borderId="12" xfId="3" applyNumberFormat="1" applyFont="1" applyFill="1" applyBorder="1" applyAlignment="1">
      <alignment horizontal="center" vertical="center"/>
    </xf>
    <xf numFmtId="0" fontId="3" fillId="5" borderId="10" xfId="3" applyFont="1" applyFill="1" applyBorder="1" applyAlignment="1">
      <alignment vertical="center"/>
    </xf>
    <xf numFmtId="0" fontId="3" fillId="5" borderId="11" xfId="3" applyFont="1" applyFill="1" applyBorder="1" applyAlignment="1">
      <alignment horizontal="center" vertical="center"/>
    </xf>
    <xf numFmtId="3" fontId="3" fillId="5" borderId="11" xfId="3" applyNumberFormat="1" applyFont="1" applyFill="1" applyBorder="1" applyAlignment="1">
      <alignment horizontal="center" vertical="center"/>
    </xf>
    <xf numFmtId="9" fontId="3" fillId="3" borderId="8" xfId="3" applyNumberFormat="1" applyFont="1" applyFill="1" applyBorder="1" applyAlignment="1">
      <alignment horizontal="center" vertical="center"/>
    </xf>
    <xf numFmtId="9" fontId="3" fillId="3" borderId="9" xfId="3" applyNumberFormat="1" applyFont="1" applyFill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 wrapText="1"/>
    </xf>
    <xf numFmtId="3" fontId="48" fillId="5" borderId="36" xfId="0" applyNumberFormat="1" applyFont="1" applyFill="1" applyBorder="1" applyAlignment="1">
      <alignment horizontal="center" vertical="center" wrapText="1"/>
    </xf>
    <xf numFmtId="3" fontId="48" fillId="0" borderId="39" xfId="0" applyNumberFormat="1" applyFont="1" applyBorder="1" applyAlignment="1">
      <alignment horizontal="center" vertical="center" wrapText="1"/>
    </xf>
    <xf numFmtId="0" fontId="19" fillId="0" borderId="0" xfId="0" applyFont="1"/>
    <xf numFmtId="0" fontId="50" fillId="3" borderId="0" xfId="0" applyFont="1" applyFill="1"/>
    <xf numFmtId="0" fontId="51" fillId="3" borderId="0" xfId="0" applyFont="1" applyFill="1"/>
    <xf numFmtId="173" fontId="50" fillId="3" borderId="0" xfId="0" applyNumberFormat="1" applyFont="1" applyFill="1"/>
    <xf numFmtId="0" fontId="50" fillId="13" borderId="5" xfId="0" applyFont="1" applyFill="1" applyBorder="1"/>
    <xf numFmtId="0" fontId="50" fillId="13" borderId="0" xfId="0" applyFont="1" applyFill="1"/>
    <xf numFmtId="173" fontId="50" fillId="13" borderId="6" xfId="0" applyNumberFormat="1" applyFont="1" applyFill="1" applyBorder="1"/>
    <xf numFmtId="0" fontId="19" fillId="0" borderId="0" xfId="0" applyFont="1" applyAlignment="1">
      <alignment horizontal="left"/>
    </xf>
    <xf numFmtId="0" fontId="50" fillId="3" borderId="19" xfId="0" applyFont="1" applyFill="1" applyBorder="1" applyAlignment="1">
      <alignment vertical="center"/>
    </xf>
    <xf numFmtId="173" fontId="50" fillId="3" borderId="19" xfId="1" applyNumberFormat="1" applyFont="1" applyFill="1" applyBorder="1" applyAlignment="1">
      <alignment vertical="center"/>
    </xf>
    <xf numFmtId="173" fontId="50" fillId="3" borderId="20" xfId="1" applyNumberFormat="1" applyFont="1" applyFill="1" applyBorder="1" applyAlignment="1">
      <alignment vertical="center"/>
    </xf>
    <xf numFmtId="0" fontId="54" fillId="0" borderId="19" xfId="0" applyFont="1" applyBorder="1"/>
    <xf numFmtId="173" fontId="54" fillId="0" borderId="19" xfId="0" applyNumberFormat="1" applyFont="1" applyBorder="1"/>
    <xf numFmtId="0" fontId="19" fillId="0" borderId="19" xfId="0" applyFont="1" applyBorder="1"/>
    <xf numFmtId="10" fontId="19" fillId="0" borderId="19" xfId="2" applyNumberFormat="1" applyFont="1" applyBorder="1"/>
    <xf numFmtId="173" fontId="19" fillId="0" borderId="0" xfId="0" applyNumberFormat="1" applyFont="1"/>
    <xf numFmtId="0" fontId="53" fillId="3" borderId="22" xfId="0" applyFont="1" applyFill="1" applyBorder="1" applyAlignment="1">
      <alignment vertical="center"/>
    </xf>
    <xf numFmtId="173" fontId="53" fillId="3" borderId="22" xfId="1" applyNumberFormat="1" applyFont="1" applyFill="1" applyBorder="1" applyAlignment="1">
      <alignment vertical="center"/>
    </xf>
    <xf numFmtId="173" fontId="53" fillId="3" borderId="23" xfId="1" applyNumberFormat="1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left" vertical="center" indent="2"/>
    </xf>
    <xf numFmtId="173" fontId="50" fillId="3" borderId="0" xfId="1" applyNumberFormat="1" applyFont="1" applyFill="1" applyBorder="1" applyAlignment="1">
      <alignment vertical="center"/>
    </xf>
    <xf numFmtId="0" fontId="19" fillId="0" borderId="18" xfId="0" applyFont="1" applyBorder="1"/>
    <xf numFmtId="173" fontId="19" fillId="0" borderId="20" xfId="0" applyNumberFormat="1" applyFont="1" applyBorder="1" applyAlignment="1">
      <alignment horizontal="center"/>
    </xf>
    <xf numFmtId="0" fontId="50" fillId="3" borderId="16" xfId="0" applyFont="1" applyFill="1" applyBorder="1" applyAlignment="1">
      <alignment vertical="center"/>
    </xf>
    <xf numFmtId="0" fontId="50" fillId="3" borderId="16" xfId="0" applyFont="1" applyFill="1" applyBorder="1"/>
    <xf numFmtId="173" fontId="50" fillId="3" borderId="17" xfId="1" applyNumberFormat="1" applyFont="1" applyFill="1" applyBorder="1"/>
    <xf numFmtId="0" fontId="50" fillId="3" borderId="19" xfId="0" applyFont="1" applyFill="1" applyBorder="1"/>
    <xf numFmtId="173" fontId="50" fillId="3" borderId="20" xfId="1" applyNumberFormat="1" applyFont="1" applyFill="1" applyBorder="1"/>
    <xf numFmtId="43" fontId="19" fillId="0" borderId="0" xfId="0" applyNumberFormat="1" applyFont="1"/>
    <xf numFmtId="0" fontId="24" fillId="2" borderId="21" xfId="0" applyFont="1" applyFill="1" applyBorder="1"/>
    <xf numFmtId="173" fontId="24" fillId="2" borderId="23" xfId="0" applyNumberFormat="1" applyFont="1" applyFill="1" applyBorder="1" applyAlignment="1">
      <alignment horizontal="center"/>
    </xf>
    <xf numFmtId="0" fontId="53" fillId="3" borderId="22" xfId="0" applyFont="1" applyFill="1" applyBorder="1"/>
    <xf numFmtId="173" fontId="53" fillId="3" borderId="23" xfId="1" applyNumberFormat="1" applyFont="1" applyFill="1" applyBorder="1"/>
    <xf numFmtId="173" fontId="50" fillId="3" borderId="17" xfId="1" applyNumberFormat="1" applyFont="1" applyFill="1" applyBorder="1" applyAlignment="1">
      <alignment vertical="center"/>
    </xf>
    <xf numFmtId="0" fontId="50" fillId="3" borderId="25" xfId="0" applyFont="1" applyFill="1" applyBorder="1"/>
    <xf numFmtId="173" fontId="50" fillId="3" borderId="34" xfId="1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24" fillId="2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73" fontId="19" fillId="0" borderId="19" xfId="0" applyNumberFormat="1" applyFont="1" applyBorder="1" applyAlignment="1">
      <alignment vertical="center"/>
    </xf>
    <xf numFmtId="0" fontId="24" fillId="2" borderId="19" xfId="0" applyFont="1" applyFill="1" applyBorder="1" applyAlignment="1">
      <alignment vertical="center"/>
    </xf>
    <xf numFmtId="173" fontId="24" fillId="2" borderId="19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173" fontId="19" fillId="0" borderId="19" xfId="1" applyNumberFormat="1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24" fillId="2" borderId="18" xfId="0" applyFont="1" applyFill="1" applyBorder="1" applyAlignment="1">
      <alignment vertical="center"/>
    </xf>
    <xf numFmtId="174" fontId="19" fillId="0" borderId="19" xfId="1" applyNumberFormat="1" applyFont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43" fontId="26" fillId="0" borderId="0" xfId="1" applyFont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1" applyNumberFormat="1" applyFont="1" applyFill="1" applyBorder="1" applyAlignment="1">
      <alignment horizontal="center" vertical="center"/>
    </xf>
    <xf numFmtId="10" fontId="26" fillId="0" borderId="19" xfId="2" applyNumberFormat="1" applyFont="1" applyBorder="1" applyAlignment="1">
      <alignment horizontal="center" vertical="center"/>
    </xf>
    <xf numFmtId="10" fontId="26" fillId="0" borderId="0" xfId="2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73" fontId="26" fillId="0" borderId="19" xfId="1" applyNumberFormat="1" applyFont="1" applyBorder="1" applyAlignment="1">
      <alignment vertical="center"/>
    </xf>
    <xf numFmtId="41" fontId="26" fillId="0" borderId="19" xfId="1" applyNumberFormat="1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43" fontId="56" fillId="0" borderId="19" xfId="1" applyFont="1" applyBorder="1" applyAlignment="1">
      <alignment vertical="center"/>
    </xf>
    <xf numFmtId="173" fontId="56" fillId="0" borderId="19" xfId="1" applyNumberFormat="1" applyFont="1" applyBorder="1" applyAlignment="1">
      <alignment vertical="center"/>
    </xf>
    <xf numFmtId="173" fontId="26" fillId="0" borderId="0" xfId="1" applyNumberFormat="1" applyFont="1" applyAlignment="1">
      <alignment vertical="center"/>
    </xf>
    <xf numFmtId="43" fontId="26" fillId="0" borderId="19" xfId="1" applyFont="1" applyBorder="1" applyAlignment="1">
      <alignment vertical="center"/>
    </xf>
    <xf numFmtId="3" fontId="26" fillId="0" borderId="19" xfId="1" applyNumberFormat="1" applyFont="1" applyBorder="1" applyAlignment="1">
      <alignment vertical="center"/>
    </xf>
    <xf numFmtId="3" fontId="56" fillId="0" borderId="19" xfId="1" applyNumberFormat="1" applyFont="1" applyBorder="1" applyAlignment="1">
      <alignment vertical="center"/>
    </xf>
    <xf numFmtId="173" fontId="26" fillId="0" borderId="0" xfId="0" applyNumberFormat="1" applyFont="1" applyAlignment="1">
      <alignment vertical="center"/>
    </xf>
    <xf numFmtId="0" fontId="57" fillId="0" borderId="0" xfId="0" applyFont="1"/>
    <xf numFmtId="173" fontId="0" fillId="0" borderId="0" xfId="0" applyNumberFormat="1"/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43" fontId="58" fillId="0" borderId="19" xfId="1" applyFont="1" applyFill="1" applyBorder="1" applyAlignment="1">
      <alignment vertical="center"/>
    </xf>
    <xf numFmtId="43" fontId="58" fillId="0" borderId="19" xfId="0" applyNumberFormat="1" applyFont="1" applyBorder="1" applyAlignment="1">
      <alignment vertical="center"/>
    </xf>
    <xf numFmtId="10" fontId="58" fillId="0" borderId="19" xfId="2" applyNumberFormat="1" applyFont="1" applyBorder="1"/>
    <xf numFmtId="43" fontId="58" fillId="0" borderId="19" xfId="1" applyFont="1" applyBorder="1"/>
    <xf numFmtId="43" fontId="58" fillId="0" borderId="19" xfId="0" applyNumberFormat="1" applyFont="1" applyBorder="1"/>
    <xf numFmtId="173" fontId="59" fillId="0" borderId="0" xfId="1" applyNumberFormat="1" applyFont="1" applyAlignment="1">
      <alignment vertical="center"/>
    </xf>
    <xf numFmtId="43" fontId="5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22" fillId="0" borderId="0" xfId="0" applyFont="1" applyAlignment="1">
      <alignment horizontal="left" vertical="center"/>
    </xf>
    <xf numFmtId="10" fontId="22" fillId="0" borderId="0" xfId="0" applyNumberFormat="1" applyFont="1" applyAlignment="1">
      <alignment vertical="center"/>
    </xf>
    <xf numFmtId="10" fontId="22" fillId="0" borderId="0" xfId="2" applyNumberFormat="1" applyFont="1" applyAlignment="1">
      <alignment vertical="center"/>
    </xf>
    <xf numFmtId="0" fontId="60" fillId="3" borderId="0" xfId="3" applyFont="1" applyFill="1" applyAlignment="1">
      <alignment vertical="center"/>
    </xf>
    <xf numFmtId="0" fontId="3" fillId="5" borderId="7" xfId="3" applyFont="1" applyFill="1" applyBorder="1" applyAlignment="1">
      <alignment vertical="center"/>
    </xf>
    <xf numFmtId="3" fontId="3" fillId="5" borderId="8" xfId="3" applyNumberFormat="1" applyFont="1" applyFill="1" applyBorder="1" applyAlignment="1">
      <alignment horizontal="center" vertical="center"/>
    </xf>
    <xf numFmtId="3" fontId="3" fillId="5" borderId="9" xfId="3" applyNumberFormat="1" applyFont="1" applyFill="1" applyBorder="1" applyAlignment="1">
      <alignment horizontal="center" vertical="center"/>
    </xf>
    <xf numFmtId="0" fontId="3" fillId="5" borderId="8" xfId="3" applyFont="1" applyFill="1" applyBorder="1" applyAlignment="1">
      <alignment horizontal="center" vertical="center"/>
    </xf>
    <xf numFmtId="0" fontId="44" fillId="4" borderId="3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3" fontId="26" fillId="5" borderId="0" xfId="3" applyNumberFormat="1" applyFont="1" applyFill="1" applyBorder="1" applyAlignment="1">
      <alignment horizontal="center" vertical="center"/>
    </xf>
    <xf numFmtId="0" fontId="56" fillId="5" borderId="6" xfId="3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3" fontId="26" fillId="5" borderId="0" xfId="3" applyNumberFormat="1" applyFont="1" applyFill="1" applyBorder="1" applyAlignment="1">
      <alignment horizontal="right" vertical="center"/>
    </xf>
    <xf numFmtId="3" fontId="26" fillId="5" borderId="6" xfId="3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vertical="center"/>
    </xf>
    <xf numFmtId="3" fontId="26" fillId="0" borderId="0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right" vertical="center"/>
    </xf>
    <xf numFmtId="3" fontId="26" fillId="0" borderId="6" xfId="3" applyNumberFormat="1" applyFont="1" applyFill="1" applyBorder="1" applyAlignment="1">
      <alignment horizontal="right" vertical="center"/>
    </xf>
    <xf numFmtId="0" fontId="56" fillId="15" borderId="6" xfId="3" applyFont="1" applyFill="1" applyBorder="1" applyAlignment="1">
      <alignment horizontal="center" vertical="center"/>
    </xf>
    <xf numFmtId="3" fontId="26" fillId="15" borderId="0" xfId="3" applyNumberFormat="1" applyFont="1" applyFill="1" applyBorder="1" applyAlignment="1">
      <alignment horizontal="center" vertical="center"/>
    </xf>
    <xf numFmtId="3" fontId="26" fillId="15" borderId="0" xfId="3" applyNumberFormat="1" applyFont="1" applyFill="1" applyBorder="1" applyAlignment="1">
      <alignment horizontal="right" vertical="center"/>
    </xf>
    <xf numFmtId="3" fontId="26" fillId="15" borderId="6" xfId="3" applyNumberFormat="1" applyFont="1" applyFill="1" applyBorder="1" applyAlignment="1">
      <alignment horizontal="right" vertical="center"/>
    </xf>
    <xf numFmtId="0" fontId="56" fillId="14" borderId="3" xfId="0" applyFont="1" applyFill="1" applyBorder="1" applyAlignment="1">
      <alignment horizontal="center" vertical="center" wrapText="1"/>
    </xf>
    <xf numFmtId="3" fontId="56" fillId="14" borderId="3" xfId="0" applyNumberFormat="1" applyFont="1" applyFill="1" applyBorder="1" applyAlignment="1">
      <alignment horizontal="right" vertical="center" wrapText="1"/>
    </xf>
    <xf numFmtId="3" fontId="56" fillId="14" borderId="4" xfId="0" applyNumberFormat="1" applyFont="1" applyFill="1" applyBorder="1" applyAlignment="1">
      <alignment horizontal="right" vertical="center" wrapText="1"/>
    </xf>
    <xf numFmtId="3" fontId="26" fillId="5" borderId="11" xfId="3" applyNumberFormat="1" applyFont="1" applyFill="1" applyBorder="1" applyAlignment="1">
      <alignment horizontal="center" vertical="center" wrapText="1"/>
    </xf>
    <xf numFmtId="4" fontId="26" fillId="5" borderId="12" xfId="3" applyNumberFormat="1" applyFont="1" applyFill="1" applyBorder="1" applyAlignment="1">
      <alignment horizontal="right" vertical="center"/>
    </xf>
    <xf numFmtId="0" fontId="26" fillId="0" borderId="8" xfId="0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right" vertical="center" wrapText="1"/>
    </xf>
    <xf numFmtId="0" fontId="62" fillId="15" borderId="0" xfId="0" applyFont="1" applyFill="1" applyAlignment="1">
      <alignment vertical="center"/>
    </xf>
    <xf numFmtId="0" fontId="62" fillId="15" borderId="0" xfId="0" applyFont="1" applyFill="1" applyAlignment="1">
      <alignment horizontal="center" vertical="center"/>
    </xf>
    <xf numFmtId="10" fontId="62" fillId="15" borderId="0" xfId="0" applyNumberFormat="1" applyFont="1" applyFill="1" applyAlignment="1">
      <alignment horizontal="center" vertical="center"/>
    </xf>
    <xf numFmtId="176" fontId="62" fillId="15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64" fillId="0" borderId="0" xfId="8" applyFont="1" applyFill="1" applyAlignment="1">
      <alignment vertical="center"/>
    </xf>
    <xf numFmtId="0" fontId="62" fillId="0" borderId="0" xfId="8" applyFont="1" applyFill="1" applyBorder="1" applyAlignment="1">
      <alignment vertical="center"/>
    </xf>
    <xf numFmtId="178" fontId="62" fillId="0" borderId="0" xfId="8" applyNumberFormat="1" applyFont="1" applyFill="1" applyBorder="1" applyAlignment="1">
      <alignment vertical="center"/>
    </xf>
    <xf numFmtId="0" fontId="25" fillId="0" borderId="0" xfId="8" applyFont="1" applyFill="1" applyBorder="1" applyAlignment="1">
      <alignment horizontal="center" vertical="center"/>
    </xf>
    <xf numFmtId="0" fontId="62" fillId="0" borderId="19" xfId="8" applyFont="1" applyFill="1" applyBorder="1" applyAlignment="1">
      <alignment vertical="center"/>
    </xf>
    <xf numFmtId="178" fontId="62" fillId="0" borderId="19" xfId="8" applyNumberFormat="1" applyFont="1" applyFill="1" applyBorder="1" applyAlignment="1">
      <alignment vertical="center"/>
    </xf>
    <xf numFmtId="178" fontId="64" fillId="0" borderId="19" xfId="8" quotePrefix="1" applyNumberFormat="1" applyFont="1" applyFill="1" applyBorder="1" applyAlignment="1">
      <alignment vertical="center"/>
    </xf>
    <xf numFmtId="178" fontId="64" fillId="0" borderId="19" xfId="8" applyNumberFormat="1" applyFont="1" applyFill="1" applyBorder="1" applyAlignment="1">
      <alignment vertical="center"/>
    </xf>
    <xf numFmtId="0" fontId="62" fillId="6" borderId="19" xfId="8" applyFont="1" applyFill="1" applyBorder="1" applyAlignment="1">
      <alignment vertical="center"/>
    </xf>
    <xf numFmtId="178" fontId="62" fillId="6" borderId="19" xfId="8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64" fillId="0" borderId="0" xfId="8" applyFont="1" applyFill="1" applyBorder="1" applyAlignment="1">
      <alignment vertical="center"/>
    </xf>
    <xf numFmtId="178" fontId="64" fillId="0" borderId="0" xfId="8" applyNumberFormat="1" applyFont="1" applyFill="1" applyBorder="1" applyAlignment="1">
      <alignment vertical="center"/>
    </xf>
    <xf numFmtId="0" fontId="62" fillId="0" borderId="0" xfId="8" applyFont="1" applyFill="1" applyBorder="1" applyAlignment="1">
      <alignment horizontal="right" vertical="center"/>
    </xf>
    <xf numFmtId="10" fontId="64" fillId="0" borderId="0" xfId="0" applyNumberFormat="1" applyFont="1" applyAlignment="1">
      <alignment vertical="center"/>
    </xf>
    <xf numFmtId="164" fontId="64" fillId="0" borderId="0" xfId="2" applyNumberFormat="1" applyFont="1" applyFill="1" applyBorder="1" applyAlignment="1">
      <alignment vertical="center"/>
    </xf>
    <xf numFmtId="10" fontId="64" fillId="0" borderId="0" xfId="0" applyNumberFormat="1" applyFont="1" applyBorder="1" applyAlignment="1">
      <alignment horizontal="center" vertical="center"/>
    </xf>
    <xf numFmtId="10" fontId="62" fillId="0" borderId="5" xfId="0" applyNumberFormat="1" applyFont="1" applyBorder="1" applyAlignment="1">
      <alignment vertical="center"/>
    </xf>
    <xf numFmtId="180" fontId="64" fillId="0" borderId="0" xfId="8" quotePrefix="1" applyNumberFormat="1" applyFont="1" applyFill="1" applyBorder="1" applyAlignment="1">
      <alignment horizontal="center" vertical="center"/>
    </xf>
    <xf numFmtId="181" fontId="64" fillId="0" borderId="6" xfId="2" quotePrefix="1" applyNumberFormat="1" applyFont="1" applyFill="1" applyBorder="1" applyAlignment="1">
      <alignment horizontal="center" vertical="center"/>
    </xf>
    <xf numFmtId="0" fontId="62" fillId="5" borderId="7" xfId="8" quotePrefix="1" applyFont="1" applyFill="1" applyBorder="1" applyAlignment="1">
      <alignment vertical="center"/>
    </xf>
    <xf numFmtId="0" fontId="64" fillId="5" borderId="8" xfId="8" quotePrefix="1" applyFont="1" applyFill="1" applyBorder="1" applyAlignment="1">
      <alignment horizontal="center" vertical="center"/>
    </xf>
    <xf numFmtId="180" fontId="64" fillId="5" borderId="8" xfId="8" quotePrefix="1" applyNumberFormat="1" applyFont="1" applyFill="1" applyBorder="1" applyAlignment="1">
      <alignment horizontal="center" vertical="center"/>
    </xf>
    <xf numFmtId="181" fontId="64" fillId="5" borderId="9" xfId="2" quotePrefix="1" applyNumberFormat="1" applyFont="1" applyFill="1" applyBorder="1" applyAlignment="1">
      <alignment horizontal="center" vertical="center"/>
    </xf>
    <xf numFmtId="10" fontId="19" fillId="0" borderId="0" xfId="0" applyNumberFormat="1" applyFont="1"/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horizontal="justify" vertical="center" wrapText="1"/>
    </xf>
    <xf numFmtId="10" fontId="66" fillId="0" borderId="19" xfId="0" applyNumberFormat="1" applyFont="1" applyBorder="1" applyAlignment="1">
      <alignment horizontal="center" vertical="center"/>
    </xf>
    <xf numFmtId="10" fontId="66" fillId="0" borderId="20" xfId="0" applyNumberFormat="1" applyFont="1" applyBorder="1" applyAlignment="1">
      <alignment horizontal="center" vertical="center"/>
    </xf>
    <xf numFmtId="0" fontId="65" fillId="16" borderId="21" xfId="0" applyFont="1" applyFill="1" applyBorder="1" applyAlignment="1">
      <alignment vertical="center"/>
    </xf>
    <xf numFmtId="0" fontId="65" fillId="16" borderId="22" xfId="0" applyFont="1" applyFill="1" applyBorder="1" applyAlignment="1">
      <alignment vertical="center"/>
    </xf>
    <xf numFmtId="0" fontId="65" fillId="16" borderId="22" xfId="0" applyFont="1" applyFill="1" applyBorder="1" applyAlignment="1">
      <alignment horizontal="center" vertical="center"/>
    </xf>
    <xf numFmtId="181" fontId="66" fillId="16" borderId="19" xfId="0" applyNumberFormat="1" applyFont="1" applyFill="1" applyBorder="1" applyAlignment="1">
      <alignment horizontal="center" vertical="center"/>
    </xf>
    <xf numFmtId="181" fontId="65" fillId="16" borderId="23" xfId="0" applyNumberFormat="1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3" fontId="54" fillId="0" borderId="19" xfId="0" applyNumberFormat="1" applyFont="1" applyBorder="1"/>
    <xf numFmtId="10" fontId="54" fillId="0" borderId="19" xfId="2" applyNumberFormat="1" applyFont="1" applyBorder="1" applyAlignment="1">
      <alignment horizontal="center" vertical="center"/>
    </xf>
    <xf numFmtId="0" fontId="67" fillId="0" borderId="0" xfId="0" applyFont="1"/>
    <xf numFmtId="0" fontId="19" fillId="0" borderId="18" xfId="0" applyFont="1" applyBorder="1" applyAlignment="1">
      <alignment vertical="center"/>
    </xf>
    <xf numFmtId="3" fontId="19" fillId="0" borderId="19" xfId="0" applyNumberFormat="1" applyFont="1" applyBorder="1" applyAlignment="1">
      <alignment horizontal="center" vertical="center"/>
    </xf>
    <xf numFmtId="10" fontId="19" fillId="0" borderId="20" xfId="2" applyNumberFormat="1" applyFont="1" applyBorder="1" applyAlignment="1">
      <alignment horizontal="center" vertical="center"/>
    </xf>
    <xf numFmtId="0" fontId="68" fillId="6" borderId="18" xfId="0" applyFont="1" applyFill="1" applyBorder="1" applyAlignment="1">
      <alignment vertical="center"/>
    </xf>
    <xf numFmtId="3" fontId="68" fillId="6" borderId="19" xfId="0" applyNumberFormat="1" applyFont="1" applyFill="1" applyBorder="1" applyAlignment="1">
      <alignment horizontal="center" vertical="center"/>
    </xf>
    <xf numFmtId="10" fontId="68" fillId="6" borderId="20" xfId="2" applyNumberFormat="1" applyFont="1" applyFill="1" applyBorder="1" applyAlignment="1">
      <alignment horizontal="center" vertical="center"/>
    </xf>
    <xf numFmtId="44" fontId="24" fillId="2" borderId="19" xfId="11" applyFont="1" applyFill="1" applyBorder="1" applyAlignment="1">
      <alignment horizontal="center" vertical="center"/>
    </xf>
    <xf numFmtId="10" fontId="19" fillId="0" borderId="0" xfId="2" applyNumberFormat="1" applyFont="1" applyAlignment="1">
      <alignment vertical="center"/>
    </xf>
    <xf numFmtId="44" fontId="24" fillId="2" borderId="22" xfId="11" applyFont="1" applyFill="1" applyBorder="1" applyAlignment="1">
      <alignment horizontal="center" vertical="center"/>
    </xf>
    <xf numFmtId="4" fontId="48" fillId="5" borderId="36" xfId="0" applyNumberFormat="1" applyFont="1" applyFill="1" applyBorder="1" applyAlignment="1">
      <alignment horizontal="center" vertical="center" wrapText="1"/>
    </xf>
    <xf numFmtId="3" fontId="55" fillId="0" borderId="0" xfId="0" applyNumberFormat="1" applyFont="1"/>
    <xf numFmtId="0" fontId="50" fillId="0" borderId="0" xfId="0" applyFont="1"/>
    <xf numFmtId="0" fontId="62" fillId="0" borderId="10" xfId="8" applyFont="1" applyFill="1" applyBorder="1" applyAlignment="1">
      <alignment horizontal="right" vertical="center"/>
    </xf>
    <xf numFmtId="179" fontId="62" fillId="0" borderId="12" xfId="0" applyNumberFormat="1" applyFont="1" applyBorder="1" applyAlignment="1">
      <alignment vertical="center"/>
    </xf>
    <xf numFmtId="10" fontId="62" fillId="0" borderId="9" xfId="0" applyNumberFormat="1" applyFont="1" applyBorder="1" applyAlignment="1">
      <alignment vertical="center"/>
    </xf>
    <xf numFmtId="0" fontId="62" fillId="5" borderId="7" xfId="8" applyFont="1" applyFill="1" applyBorder="1" applyAlignment="1">
      <alignment horizontal="right" vertical="center"/>
    </xf>
    <xf numFmtId="10" fontId="62" fillId="5" borderId="9" xfId="0" applyNumberFormat="1" applyFont="1" applyFill="1" applyBorder="1" applyAlignment="1">
      <alignment vertical="center"/>
    </xf>
    <xf numFmtId="10" fontId="62" fillId="0" borderId="7" xfId="0" applyNumberFormat="1" applyFont="1" applyBorder="1" applyAlignment="1">
      <alignment vertical="center"/>
    </xf>
    <xf numFmtId="180" fontId="64" fillId="0" borderId="8" xfId="8" quotePrefix="1" applyNumberFormat="1" applyFont="1" applyFill="1" applyBorder="1" applyAlignment="1">
      <alignment horizontal="center" vertical="center"/>
    </xf>
    <xf numFmtId="181" fontId="64" fillId="0" borderId="8" xfId="2" quotePrefix="1" applyNumberFormat="1" applyFont="1" applyFill="1" applyBorder="1" applyAlignment="1">
      <alignment horizontal="center" vertical="center"/>
    </xf>
    <xf numFmtId="0" fontId="44" fillId="4" borderId="10" xfId="3" applyFont="1" applyFill="1" applyBorder="1" applyAlignment="1">
      <alignment vertical="center" wrapText="1"/>
    </xf>
    <xf numFmtId="181" fontId="44" fillId="4" borderId="4" xfId="3" applyNumberFormat="1" applyFont="1" applyFill="1" applyBorder="1" applyAlignment="1">
      <alignment horizontal="center" vertical="center" wrapText="1"/>
    </xf>
    <xf numFmtId="10" fontId="62" fillId="5" borderId="5" xfId="0" applyNumberFormat="1" applyFont="1" applyFill="1" applyBorder="1" applyAlignment="1">
      <alignment vertical="center"/>
    </xf>
    <xf numFmtId="0" fontId="62" fillId="0" borderId="5" xfId="8" quotePrefix="1" applyFont="1" applyFill="1" applyBorder="1" applyAlignment="1">
      <alignment vertical="center"/>
    </xf>
    <xf numFmtId="178" fontId="51" fillId="0" borderId="0" xfId="8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9" fontId="64" fillId="0" borderId="0" xfId="8" quotePrefix="1" applyNumberFormat="1" applyFont="1" applyFill="1" applyBorder="1" applyAlignment="1">
      <alignment horizontal="center" vertical="center"/>
    </xf>
    <xf numFmtId="179" fontId="64" fillId="0" borderId="6" xfId="8" quotePrefix="1" applyNumberFormat="1" applyFont="1" applyFill="1" applyBorder="1" applyAlignment="1">
      <alignment horizontal="center" vertical="center"/>
    </xf>
    <xf numFmtId="179" fontId="64" fillId="5" borderId="0" xfId="8" quotePrefix="1" applyNumberFormat="1" applyFont="1" applyFill="1" applyBorder="1" applyAlignment="1">
      <alignment horizontal="center" vertical="center"/>
    </xf>
    <xf numFmtId="179" fontId="64" fillId="5" borderId="6" xfId="8" quotePrefix="1" applyNumberFormat="1" applyFont="1" applyFill="1" applyBorder="1" applyAlignment="1">
      <alignment horizontal="center" vertical="center"/>
    </xf>
    <xf numFmtId="179" fontId="64" fillId="0" borderId="8" xfId="8" quotePrefix="1" applyNumberFormat="1" applyFont="1" applyFill="1" applyBorder="1" applyAlignment="1">
      <alignment horizontal="center" vertical="center"/>
    </xf>
    <xf numFmtId="178" fontId="64" fillId="11" borderId="19" xfId="8" applyNumberFormat="1" applyFont="1" applyFill="1" applyBorder="1" applyAlignment="1">
      <alignment vertical="center"/>
    </xf>
    <xf numFmtId="0" fontId="62" fillId="5" borderId="19" xfId="8" applyFont="1" applyFill="1" applyBorder="1" applyAlignment="1">
      <alignment vertical="center"/>
    </xf>
    <xf numFmtId="178" fontId="62" fillId="5" borderId="19" xfId="8" applyNumberFormat="1" applyFont="1" applyFill="1" applyBorder="1" applyAlignment="1">
      <alignment vertical="center"/>
    </xf>
    <xf numFmtId="173" fontId="19" fillId="0" borderId="19" xfId="1" applyNumberFormat="1" applyFont="1" applyFill="1" applyBorder="1" applyAlignment="1">
      <alignment vertical="center"/>
    </xf>
    <xf numFmtId="174" fontId="19" fillId="0" borderId="19" xfId="1" applyNumberFormat="1" applyFont="1" applyFill="1" applyBorder="1" applyAlignment="1">
      <alignment horizontal="center" vertical="center"/>
    </xf>
    <xf numFmtId="0" fontId="52" fillId="0" borderId="0" xfId="0" applyFont="1"/>
    <xf numFmtId="0" fontId="63" fillId="0" borderId="0" xfId="0" applyFont="1" applyAlignment="1">
      <alignment vertical="center"/>
    </xf>
    <xf numFmtId="0" fontId="25" fillId="18" borderId="47" xfId="0" applyFont="1" applyFill="1" applyBorder="1"/>
    <xf numFmtId="0" fontId="25" fillId="18" borderId="47" xfId="0" applyFont="1" applyFill="1" applyBorder="1" applyAlignment="1">
      <alignment horizontal="center"/>
    </xf>
    <xf numFmtId="0" fontId="53" fillId="0" borderId="0" xfId="0" applyFont="1" applyAlignment="1">
      <alignment horizontal="left" indent="1"/>
    </xf>
    <xf numFmtId="173" fontId="53" fillId="0" borderId="0" xfId="0" applyNumberFormat="1" applyFont="1"/>
    <xf numFmtId="0" fontId="53" fillId="0" borderId="48" xfId="0" applyFont="1" applyBorder="1" applyAlignment="1">
      <alignment horizontal="left"/>
    </xf>
    <xf numFmtId="173" fontId="53" fillId="0" borderId="48" xfId="0" applyNumberFormat="1" applyFont="1" applyBorder="1"/>
    <xf numFmtId="0" fontId="53" fillId="0" borderId="0" xfId="0" applyFont="1" applyBorder="1" applyAlignment="1">
      <alignment horizontal="left"/>
    </xf>
    <xf numFmtId="173" fontId="53" fillId="0" borderId="0" xfId="0" applyNumberFormat="1" applyFont="1" applyBorder="1"/>
    <xf numFmtId="0" fontId="70" fillId="0" borderId="0" xfId="0" applyFont="1"/>
    <xf numFmtId="0" fontId="71" fillId="0" borderId="0" xfId="0" applyFont="1"/>
    <xf numFmtId="43" fontId="70" fillId="0" borderId="0" xfId="0" applyNumberFormat="1" applyFont="1"/>
    <xf numFmtId="10" fontId="53" fillId="0" borderId="0" xfId="2" applyNumberFormat="1" applyFont="1" applyAlignment="1">
      <alignment horizontal="center"/>
    </xf>
    <xf numFmtId="0" fontId="69" fillId="0" borderId="0" xfId="0" applyFont="1"/>
    <xf numFmtId="0" fontId="2" fillId="0" borderId="0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44" fillId="4" borderId="1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0" fontId="44" fillId="4" borderId="0" xfId="3" applyFont="1" applyFill="1" applyBorder="1" applyAlignment="1">
      <alignment horizontal="center" vertical="center" wrapText="1"/>
    </xf>
    <xf numFmtId="173" fontId="54" fillId="0" borderId="19" xfId="0" applyNumberFormat="1" applyFont="1" applyFill="1" applyBorder="1"/>
    <xf numFmtId="173" fontId="19" fillId="0" borderId="20" xfId="2" applyNumberFormat="1" applyFont="1" applyFill="1" applyBorder="1" applyAlignment="1">
      <alignment horizontal="center"/>
    </xf>
    <xf numFmtId="183" fontId="0" fillId="0" borderId="0" xfId="0" applyNumberFormat="1"/>
    <xf numFmtId="17" fontId="19" fillId="0" borderId="0" xfId="0" applyNumberFormat="1" applyFont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0" fontId="0" fillId="0" borderId="0" xfId="0" applyBorder="1"/>
    <xf numFmtId="0" fontId="4" fillId="5" borderId="0" xfId="3" applyFont="1" applyFill="1" applyBorder="1" applyAlignment="1">
      <alignment horizontal="center" vertical="center"/>
    </xf>
    <xf numFmtId="10" fontId="4" fillId="5" borderId="0" xfId="3" applyNumberFormat="1" applyFont="1" applyFill="1" applyBorder="1" applyAlignment="1">
      <alignment horizontal="center" vertical="center"/>
    </xf>
    <xf numFmtId="181" fontId="4" fillId="5" borderId="0" xfId="3" applyNumberFormat="1" applyFont="1" applyFill="1" applyBorder="1" applyAlignment="1">
      <alignment horizontal="center" vertical="center"/>
    </xf>
    <xf numFmtId="178" fontId="26" fillId="0" borderId="0" xfId="0" applyNumberFormat="1" applyFont="1" applyAlignment="1">
      <alignment vertical="center"/>
    </xf>
    <xf numFmtId="0" fontId="43" fillId="0" borderId="0" xfId="8" applyFont="1" applyFill="1" applyAlignment="1">
      <alignment vertical="center"/>
    </xf>
    <xf numFmtId="177" fontId="43" fillId="0" borderId="0" xfId="8" applyNumberFormat="1" applyFont="1" applyFill="1" applyAlignment="1">
      <alignment vertical="center"/>
    </xf>
    <xf numFmtId="177" fontId="42" fillId="0" borderId="0" xfId="8" applyNumberFormat="1" applyFont="1" applyFill="1" applyAlignment="1">
      <alignment horizontal="center" vertical="center"/>
    </xf>
    <xf numFmtId="0" fontId="43" fillId="0" borderId="0" xfId="8" applyFont="1" applyFill="1" applyAlignment="1">
      <alignment horizontal="right" vertical="center"/>
    </xf>
    <xf numFmtId="0" fontId="42" fillId="0" borderId="0" xfId="8" applyFont="1" applyFill="1" applyAlignment="1">
      <alignment vertical="center"/>
    </xf>
    <xf numFmtId="178" fontId="44" fillId="4" borderId="19" xfId="8" applyNumberFormat="1" applyFont="1" applyFill="1" applyBorder="1" applyAlignment="1">
      <alignment horizontal="center" vertical="center" wrapText="1"/>
    </xf>
    <xf numFmtId="0" fontId="44" fillId="4" borderId="19" xfId="8" applyNumberFormat="1" applyFont="1" applyFill="1" applyBorder="1" applyAlignment="1">
      <alignment horizontal="center" vertical="center" wrapText="1"/>
    </xf>
    <xf numFmtId="0" fontId="42" fillId="0" borderId="0" xfId="8" applyFont="1" applyFill="1" applyBorder="1" applyAlignment="1">
      <alignment vertical="center"/>
    </xf>
    <xf numFmtId="178" fontId="42" fillId="0" borderId="0" xfId="8" applyNumberFormat="1" applyFont="1" applyFill="1" applyBorder="1" applyAlignment="1">
      <alignment vertical="center"/>
    </xf>
    <xf numFmtId="0" fontId="44" fillId="0" borderId="0" xfId="8" applyFont="1" applyFill="1" applyBorder="1" applyAlignment="1">
      <alignment horizontal="center" vertical="center"/>
    </xf>
    <xf numFmtId="0" fontId="42" fillId="0" borderId="19" xfId="8" applyFont="1" applyFill="1" applyBorder="1" applyAlignment="1">
      <alignment vertical="center"/>
    </xf>
    <xf numFmtId="178" fontId="42" fillId="0" borderId="19" xfId="8" applyNumberFormat="1" applyFont="1" applyFill="1" applyBorder="1" applyAlignment="1">
      <alignment vertical="center"/>
    </xf>
    <xf numFmtId="178" fontId="43" fillId="0" borderId="19" xfId="8" quotePrefix="1" applyNumberFormat="1" applyFont="1" applyFill="1" applyBorder="1" applyAlignment="1">
      <alignment vertical="center"/>
    </xf>
    <xf numFmtId="178" fontId="43" fillId="0" borderId="19" xfId="8" applyNumberFormat="1" applyFont="1" applyFill="1" applyBorder="1" applyAlignment="1">
      <alignment vertical="center"/>
    </xf>
    <xf numFmtId="0" fontId="42" fillId="6" borderId="19" xfId="8" applyFont="1" applyFill="1" applyBorder="1" applyAlignment="1">
      <alignment vertical="center"/>
    </xf>
    <xf numFmtId="178" fontId="42" fillId="6" borderId="19" xfId="8" applyNumberFormat="1" applyFont="1" applyFill="1" applyBorder="1" applyAlignment="1">
      <alignment vertical="center"/>
    </xf>
    <xf numFmtId="0" fontId="43" fillId="0" borderId="0" xfId="8" applyFont="1" applyFill="1" applyBorder="1" applyAlignment="1">
      <alignment vertical="center"/>
    </xf>
    <xf numFmtId="178" fontId="43" fillId="0" borderId="0" xfId="8" applyNumberFormat="1" applyFont="1" applyFill="1" applyBorder="1" applyAlignment="1">
      <alignment vertical="center"/>
    </xf>
    <xf numFmtId="0" fontId="42" fillId="0" borderId="10" xfId="8" applyFont="1" applyFill="1" applyBorder="1" applyAlignment="1">
      <alignment horizontal="right" vertical="center"/>
    </xf>
    <xf numFmtId="179" fontId="42" fillId="0" borderId="12" xfId="0" applyNumberFormat="1" applyFont="1" applyBorder="1" applyAlignment="1">
      <alignment vertical="center"/>
    </xf>
    <xf numFmtId="0" fontId="42" fillId="5" borderId="7" xfId="8" applyFont="1" applyFill="1" applyBorder="1" applyAlignment="1">
      <alignment horizontal="right" vertical="center"/>
    </xf>
    <xf numFmtId="10" fontId="42" fillId="5" borderId="9" xfId="0" applyNumberFormat="1" applyFont="1" applyFill="1" applyBorder="1" applyAlignment="1">
      <alignment vertical="center"/>
    </xf>
    <xf numFmtId="164" fontId="43" fillId="0" borderId="0" xfId="2" applyNumberFormat="1" applyFont="1" applyFill="1" applyBorder="1" applyAlignment="1">
      <alignment vertical="center"/>
    </xf>
    <xf numFmtId="0" fontId="42" fillId="0" borderId="0" xfId="8" applyFont="1" applyFill="1" applyBorder="1" applyAlignment="1">
      <alignment horizontal="right" vertical="center"/>
    </xf>
    <xf numFmtId="10" fontId="43" fillId="0" borderId="0" xfId="0" applyNumberFormat="1" applyFont="1" applyAlignment="1">
      <alignment vertical="center"/>
    </xf>
    <xf numFmtId="10" fontId="42" fillId="0" borderId="5" xfId="0" applyNumberFormat="1" applyFont="1" applyBorder="1" applyAlignment="1">
      <alignment vertical="center"/>
    </xf>
    <xf numFmtId="10" fontId="43" fillId="0" borderId="0" xfId="0" applyNumberFormat="1" applyFont="1" applyBorder="1" applyAlignment="1">
      <alignment horizontal="center" vertical="center"/>
    </xf>
    <xf numFmtId="180" fontId="43" fillId="0" borderId="0" xfId="8" quotePrefix="1" applyNumberFormat="1" applyFont="1" applyFill="1" applyBorder="1" applyAlignment="1">
      <alignment horizontal="center" vertical="center"/>
    </xf>
    <xf numFmtId="181" fontId="43" fillId="0" borderId="6" xfId="2" quotePrefix="1" applyNumberFormat="1" applyFont="1" applyFill="1" applyBorder="1" applyAlignment="1">
      <alignment horizontal="center" vertical="center"/>
    </xf>
    <xf numFmtId="0" fontId="42" fillId="5" borderId="7" xfId="8" quotePrefix="1" applyFont="1" applyFill="1" applyBorder="1" applyAlignment="1">
      <alignment vertical="center"/>
    </xf>
    <xf numFmtId="0" fontId="43" fillId="5" borderId="8" xfId="8" quotePrefix="1" applyFont="1" applyFill="1" applyBorder="1" applyAlignment="1">
      <alignment horizontal="center" vertical="center"/>
    </xf>
    <xf numFmtId="180" fontId="43" fillId="5" borderId="8" xfId="8" quotePrefix="1" applyNumberFormat="1" applyFont="1" applyFill="1" applyBorder="1" applyAlignment="1">
      <alignment horizontal="center" vertical="center"/>
    </xf>
    <xf numFmtId="182" fontId="43" fillId="5" borderId="8" xfId="8" quotePrefix="1" applyNumberFormat="1" applyFont="1" applyFill="1" applyBorder="1" applyAlignment="1">
      <alignment horizontal="center" vertical="center"/>
    </xf>
    <xf numFmtId="181" fontId="43" fillId="5" borderId="9" xfId="2" quotePrefix="1" applyNumberFormat="1" applyFont="1" applyFill="1" applyBorder="1" applyAlignment="1">
      <alignment horizontal="center" vertical="center"/>
    </xf>
    <xf numFmtId="0" fontId="50" fillId="3" borderId="30" xfId="0" applyFont="1" applyFill="1" applyBorder="1"/>
    <xf numFmtId="4" fontId="26" fillId="0" borderId="0" xfId="0" applyNumberFormat="1" applyFont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176" fontId="73" fillId="4" borderId="0" xfId="8" applyNumberFormat="1" applyFont="1" applyFill="1" applyAlignment="1">
      <alignment vertical="center"/>
    </xf>
    <xf numFmtId="0" fontId="2" fillId="4" borderId="2" xfId="3" applyFont="1" applyFill="1" applyBorder="1" applyAlignment="1">
      <alignment horizontal="center" vertical="center" textRotation="90"/>
    </xf>
    <xf numFmtId="0" fontId="3" fillId="5" borderId="2" xfId="3" applyFont="1" applyFill="1" applyBorder="1" applyAlignment="1">
      <alignment vertical="center"/>
    </xf>
    <xf numFmtId="0" fontId="3" fillId="5" borderId="3" xfId="3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54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3" fontId="19" fillId="0" borderId="0" xfId="0" applyNumberFormat="1" applyFont="1" applyAlignment="1">
      <alignment vertical="center"/>
    </xf>
    <xf numFmtId="173" fontId="19" fillId="0" borderId="0" xfId="1" applyNumberFormat="1" applyFont="1" applyAlignment="1">
      <alignment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173" fontId="19" fillId="0" borderId="20" xfId="1" applyNumberFormat="1" applyFont="1" applyFill="1" applyBorder="1" applyAlignment="1">
      <alignment vertical="center"/>
    </xf>
    <xf numFmtId="0" fontId="54" fillId="0" borderId="21" xfId="0" applyFont="1" applyBorder="1" applyAlignment="1">
      <alignment vertical="center"/>
    </xf>
    <xf numFmtId="173" fontId="54" fillId="0" borderId="22" xfId="0" applyNumberFormat="1" applyFont="1" applyBorder="1" applyAlignment="1">
      <alignment vertical="center"/>
    </xf>
    <xf numFmtId="173" fontId="54" fillId="0" borderId="23" xfId="0" applyNumberFormat="1" applyFont="1" applyBorder="1" applyAlignment="1">
      <alignment vertical="center"/>
    </xf>
    <xf numFmtId="10" fontId="19" fillId="0" borderId="19" xfId="1" applyNumberFormat="1" applyFont="1" applyFill="1" applyBorder="1" applyAlignment="1">
      <alignment horizontal="center" vertical="center"/>
    </xf>
    <xf numFmtId="10" fontId="19" fillId="0" borderId="20" xfId="1" applyNumberFormat="1" applyFont="1" applyFill="1" applyBorder="1" applyAlignment="1">
      <alignment horizontal="center" vertical="center"/>
    </xf>
    <xf numFmtId="10" fontId="54" fillId="0" borderId="22" xfId="1" applyNumberFormat="1" applyFont="1" applyFill="1" applyBorder="1" applyAlignment="1">
      <alignment horizontal="center" vertical="center"/>
    </xf>
    <xf numFmtId="10" fontId="54" fillId="0" borderId="23" xfId="1" applyNumberFormat="1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vertical="center"/>
    </xf>
    <xf numFmtId="0" fontId="31" fillId="8" borderId="0" xfId="3" applyFont="1" applyFill="1" applyAlignment="1">
      <alignment vertical="center"/>
    </xf>
    <xf numFmtId="166" fontId="31" fillId="8" borderId="0" xfId="7" applyNumberFormat="1" applyFont="1" applyFill="1" applyBorder="1" applyAlignment="1" applyProtection="1">
      <alignment vertical="center"/>
      <protection locked="0"/>
    </xf>
    <xf numFmtId="0" fontId="24" fillId="19" borderId="46" xfId="0" applyFont="1" applyFill="1" applyBorder="1" applyAlignment="1">
      <alignment horizontal="center" vertical="center"/>
    </xf>
    <xf numFmtId="0" fontId="55" fillId="19" borderId="0" xfId="0" applyFont="1" applyFill="1"/>
    <xf numFmtId="0" fontId="74" fillId="19" borderId="0" xfId="0" applyFont="1" applyFill="1"/>
    <xf numFmtId="0" fontId="75" fillId="19" borderId="0" xfId="0" applyFont="1" applyFill="1"/>
    <xf numFmtId="0" fontId="76" fillId="19" borderId="0" xfId="0" applyFont="1" applyFill="1" applyAlignment="1">
      <alignment vertical="center"/>
    </xf>
    <xf numFmtId="0" fontId="75" fillId="19" borderId="0" xfId="0" applyFont="1" applyFill="1" applyAlignment="1">
      <alignment vertical="center"/>
    </xf>
    <xf numFmtId="0" fontId="76" fillId="19" borderId="0" xfId="0" applyFont="1" applyFill="1" applyAlignment="1">
      <alignment horizontal="center" vertical="center"/>
    </xf>
    <xf numFmtId="0" fontId="24" fillId="19" borderId="15" xfId="0" applyFont="1" applyFill="1" applyBorder="1" applyAlignment="1">
      <alignment vertical="center"/>
    </xf>
    <xf numFmtId="0" fontId="24" fillId="19" borderId="18" xfId="0" applyFont="1" applyFill="1" applyBorder="1" applyAlignment="1">
      <alignment vertical="center"/>
    </xf>
    <xf numFmtId="0" fontId="24" fillId="19" borderId="19" xfId="0" applyFont="1" applyFill="1" applyBorder="1" applyAlignment="1">
      <alignment horizontal="center" vertical="center"/>
    </xf>
    <xf numFmtId="9" fontId="24" fillId="19" borderId="20" xfId="0" applyNumberFormat="1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vertical="center"/>
    </xf>
    <xf numFmtId="173" fontId="24" fillId="16" borderId="19" xfId="1" applyNumberFormat="1" applyFont="1" applyFill="1" applyBorder="1" applyAlignment="1">
      <alignment vertical="center"/>
    </xf>
    <xf numFmtId="43" fontId="24" fillId="16" borderId="19" xfId="1" applyFont="1" applyFill="1" applyBorder="1" applyAlignment="1">
      <alignment vertical="center"/>
    </xf>
    <xf numFmtId="0" fontId="24" fillId="16" borderId="19" xfId="0" applyFont="1" applyFill="1" applyBorder="1" applyAlignment="1">
      <alignment horizontal="center" vertical="center"/>
    </xf>
    <xf numFmtId="0" fontId="77" fillId="19" borderId="18" xfId="0" applyFont="1" applyFill="1" applyBorder="1" applyAlignment="1">
      <alignment vertical="center"/>
    </xf>
    <xf numFmtId="0" fontId="77" fillId="19" borderId="19" xfId="0" applyFont="1" applyFill="1" applyBorder="1" applyAlignment="1">
      <alignment vertical="center"/>
    </xf>
    <xf numFmtId="0" fontId="77" fillId="19" borderId="19" xfId="0" applyFont="1" applyFill="1" applyBorder="1" applyAlignment="1">
      <alignment horizontal="center" vertical="center" wrapText="1"/>
    </xf>
    <xf numFmtId="0" fontId="77" fillId="19" borderId="20" xfId="0" applyFont="1" applyFill="1" applyBorder="1" applyAlignment="1">
      <alignment horizontal="center" vertical="center" wrapText="1"/>
    </xf>
    <xf numFmtId="0" fontId="52" fillId="19" borderId="40" xfId="0" applyFont="1" applyFill="1" applyBorder="1" applyAlignment="1">
      <alignment horizontal="center" vertical="center"/>
    </xf>
    <xf numFmtId="173" fontId="25" fillId="19" borderId="43" xfId="0" applyNumberFormat="1" applyFont="1" applyFill="1" applyBorder="1" applyAlignment="1">
      <alignment horizontal="center" vertical="center"/>
    </xf>
    <xf numFmtId="0" fontId="53" fillId="16" borderId="22" xfId="0" applyFont="1" applyFill="1" applyBorder="1"/>
    <xf numFmtId="173" fontId="53" fillId="16" borderId="23" xfId="0" applyNumberFormat="1" applyFont="1" applyFill="1" applyBorder="1"/>
    <xf numFmtId="0" fontId="24" fillId="19" borderId="18" xfId="0" applyFont="1" applyFill="1" applyBorder="1"/>
    <xf numFmtId="0" fontId="24" fillId="19" borderId="20" xfId="0" applyFont="1" applyFill="1" applyBorder="1" applyAlignment="1">
      <alignment horizontal="center"/>
    </xf>
    <xf numFmtId="0" fontId="55" fillId="19" borderId="19" xfId="0" applyFont="1" applyFill="1" applyBorder="1" applyAlignment="1">
      <alignment vertical="center"/>
    </xf>
    <xf numFmtId="0" fontId="44" fillId="19" borderId="19" xfId="0" applyFont="1" applyFill="1" applyBorder="1" applyAlignment="1">
      <alignment horizontal="center" vertical="center"/>
    </xf>
    <xf numFmtId="43" fontId="44" fillId="19" borderId="19" xfId="1" applyFont="1" applyFill="1" applyBorder="1" applyAlignment="1">
      <alignment horizontal="center" vertical="center" wrapText="1"/>
    </xf>
    <xf numFmtId="43" fontId="44" fillId="19" borderId="19" xfId="1" applyFont="1" applyFill="1" applyBorder="1" applyAlignment="1">
      <alignment horizontal="center" vertical="center"/>
    </xf>
    <xf numFmtId="0" fontId="44" fillId="19" borderId="19" xfId="1" applyNumberFormat="1" applyFont="1" applyFill="1" applyBorder="1" applyAlignment="1">
      <alignment horizontal="center" vertical="center"/>
    </xf>
    <xf numFmtId="173" fontId="56" fillId="16" borderId="45" xfId="0" applyNumberFormat="1" applyFont="1" applyFill="1" applyBorder="1" applyAlignment="1">
      <alignment vertical="center"/>
    </xf>
    <xf numFmtId="173" fontId="56" fillId="16" borderId="43" xfId="0" applyNumberFormat="1" applyFont="1" applyFill="1" applyBorder="1" applyAlignment="1">
      <alignment vertical="center"/>
    </xf>
    <xf numFmtId="0" fontId="78" fillId="19" borderId="29" xfId="0" applyFont="1" applyFill="1" applyBorder="1" applyAlignment="1">
      <alignment vertical="center"/>
    </xf>
    <xf numFmtId="0" fontId="0" fillId="19" borderId="29" xfId="0" applyFill="1" applyBorder="1" applyAlignment="1">
      <alignment vertical="center"/>
    </xf>
    <xf numFmtId="0" fontId="44" fillId="4" borderId="31" xfId="3" applyFont="1" applyFill="1" applyBorder="1" applyAlignment="1">
      <alignment horizontal="center" vertical="center" wrapText="1"/>
    </xf>
    <xf numFmtId="0" fontId="44" fillId="4" borderId="32" xfId="3" applyFont="1" applyFill="1" applyBorder="1" applyAlignment="1">
      <alignment horizontal="center" vertical="center" wrapText="1"/>
    </xf>
    <xf numFmtId="0" fontId="44" fillId="4" borderId="33" xfId="3" applyFont="1" applyFill="1" applyBorder="1" applyAlignment="1">
      <alignment horizontal="center" vertical="center" wrapText="1"/>
    </xf>
    <xf numFmtId="0" fontId="80" fillId="0" borderId="0" xfId="3" applyFont="1" applyAlignment="1">
      <alignment vertical="center"/>
    </xf>
    <xf numFmtId="0" fontId="47" fillId="20" borderId="0" xfId="3" applyFont="1" applyFill="1" applyAlignment="1">
      <alignment horizontal="center" vertical="center"/>
    </xf>
    <xf numFmtId="0" fontId="51" fillId="0" borderId="0" xfId="8" applyFont="1" applyFill="1" applyBorder="1" applyAlignment="1">
      <alignment vertical="center"/>
    </xf>
    <xf numFmtId="0" fontId="81" fillId="0" borderId="0" xfId="0" applyFont="1" applyAlignment="1">
      <alignment vertical="center"/>
    </xf>
    <xf numFmtId="173" fontId="3" fillId="0" borderId="0" xfId="1" applyNumberFormat="1" applyFont="1" applyFill="1" applyAlignment="1">
      <alignment vertical="center"/>
    </xf>
    <xf numFmtId="43" fontId="3" fillId="0" borderId="0" xfId="1" applyFont="1" applyAlignment="1">
      <alignment vertical="center"/>
    </xf>
    <xf numFmtId="18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0" fontId="19" fillId="0" borderId="0" xfId="2" applyNumberFormat="1" applyFont="1" applyFill="1" applyBorder="1" applyAlignment="1">
      <alignment horizontal="center" vertical="center"/>
    </xf>
    <xf numFmtId="183" fontId="4" fillId="5" borderId="0" xfId="3" applyNumberFormat="1" applyFont="1" applyFill="1" applyBorder="1" applyAlignment="1">
      <alignment horizontal="center" vertical="center"/>
    </xf>
    <xf numFmtId="181" fontId="0" fillId="0" borderId="0" xfId="2" applyNumberFormat="1" applyFont="1"/>
    <xf numFmtId="0" fontId="73" fillId="7" borderId="0" xfId="8" applyFont="1" applyFill="1" applyAlignment="1">
      <alignment horizontal="center" vertical="center"/>
    </xf>
    <xf numFmtId="0" fontId="44" fillId="4" borderId="10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9" xfId="8" applyFont="1" applyFill="1" applyBorder="1" applyAlignment="1">
      <alignment horizontal="center" vertical="center" wrapText="1"/>
    </xf>
    <xf numFmtId="177" fontId="44" fillId="4" borderId="19" xfId="8" applyNumberFormat="1" applyFont="1" applyFill="1" applyBorder="1" applyAlignment="1">
      <alignment horizontal="center" vertical="center"/>
    </xf>
    <xf numFmtId="0" fontId="42" fillId="2" borderId="2" xfId="8" quotePrefix="1" applyFont="1" applyFill="1" applyBorder="1" applyAlignment="1">
      <alignment horizontal="center" vertical="center"/>
    </xf>
    <xf numFmtId="0" fontId="42" fillId="2" borderId="3" xfId="8" quotePrefix="1" applyFont="1" applyFill="1" applyBorder="1" applyAlignment="1">
      <alignment horizontal="center" vertical="center"/>
    </xf>
    <xf numFmtId="0" fontId="42" fillId="2" borderId="4" xfId="8" quotePrefix="1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44" fillId="4" borderId="0" xfId="3" applyFont="1" applyFill="1" applyBorder="1" applyAlignment="1">
      <alignment horizontal="center" vertical="center" wrapText="1"/>
    </xf>
    <xf numFmtId="0" fontId="73" fillId="4" borderId="0" xfId="8" applyFont="1" applyFill="1" applyAlignment="1">
      <alignment horizontal="right" vertical="center"/>
    </xf>
    <xf numFmtId="0" fontId="62" fillId="2" borderId="2" xfId="8" quotePrefix="1" applyFont="1" applyFill="1" applyBorder="1" applyAlignment="1">
      <alignment horizontal="center" vertical="center"/>
    </xf>
    <xf numFmtId="0" fontId="62" fillId="2" borderId="3" xfId="8" quotePrefix="1" applyFont="1" applyFill="1" applyBorder="1" applyAlignment="1">
      <alignment horizontal="center" vertical="center"/>
    </xf>
    <xf numFmtId="0" fontId="62" fillId="2" borderId="4" xfId="8" quotePrefix="1" applyFont="1" applyFill="1" applyBorder="1" applyAlignment="1">
      <alignment horizontal="center" vertical="center"/>
    </xf>
    <xf numFmtId="0" fontId="2" fillId="4" borderId="27" xfId="3" applyFont="1" applyFill="1" applyBorder="1" applyAlignment="1">
      <alignment horizontal="center" vertical="center" textRotation="90"/>
    </xf>
    <xf numFmtId="0" fontId="2" fillId="4" borderId="28" xfId="3" applyFont="1" applyFill="1" applyBorder="1" applyAlignment="1">
      <alignment horizontal="center" vertical="center" textRotation="90"/>
    </xf>
    <xf numFmtId="0" fontId="2" fillId="4" borderId="1" xfId="3" applyFont="1" applyFill="1" applyBorder="1" applyAlignment="1">
      <alignment horizontal="center" vertical="center" textRotation="90"/>
    </xf>
    <xf numFmtId="0" fontId="2" fillId="0" borderId="0" xfId="3" applyFont="1" applyAlignment="1">
      <alignment horizontal="center" vertical="center"/>
    </xf>
    <xf numFmtId="0" fontId="31" fillId="0" borderId="0" xfId="3" applyFont="1" applyAlignment="1">
      <alignment horizontal="left" vertical="center"/>
    </xf>
    <xf numFmtId="0" fontId="2" fillId="7" borderId="0" xfId="3" applyFont="1" applyFill="1" applyAlignment="1">
      <alignment horizontal="left" vertical="center"/>
    </xf>
    <xf numFmtId="0" fontId="32" fillId="0" borderId="0" xfId="3" applyFont="1" applyAlignment="1">
      <alignment horizontal="left" vertical="center"/>
    </xf>
    <xf numFmtId="0" fontId="6" fillId="8" borderId="0" xfId="3" applyFont="1" applyFill="1" applyAlignment="1">
      <alignment horizontal="left" vertical="center"/>
    </xf>
    <xf numFmtId="0" fontId="2" fillId="2" borderId="0" xfId="3" applyFont="1" applyFill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10" fontId="54" fillId="16" borderId="19" xfId="0" applyNumberFormat="1" applyFont="1" applyFill="1" applyBorder="1" applyAlignment="1">
      <alignment horizontal="center" vertical="center"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47" fillId="19" borderId="0" xfId="0" applyFont="1" applyFill="1" applyAlignment="1">
      <alignment horizontal="center" vertical="center"/>
    </xf>
    <xf numFmtId="0" fontId="47" fillId="19" borderId="2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54" fillId="0" borderId="19" xfId="0" applyFont="1" applyBorder="1" applyAlignment="1">
      <alignment horizontal="center"/>
    </xf>
    <xf numFmtId="10" fontId="54" fillId="17" borderId="19" xfId="0" applyNumberFormat="1" applyFont="1" applyFill="1" applyBorder="1" applyAlignment="1">
      <alignment horizontal="center" vertical="center"/>
    </xf>
    <xf numFmtId="3" fontId="54" fillId="17" borderId="19" xfId="0" applyNumberFormat="1" applyFont="1" applyFill="1" applyBorder="1" applyAlignment="1">
      <alignment horizontal="center" vertical="center"/>
    </xf>
    <xf numFmtId="0" fontId="24" fillId="19" borderId="16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10" fontId="24" fillId="2" borderId="44" xfId="2" applyNumberFormat="1" applyFont="1" applyFill="1" applyBorder="1" applyAlignment="1">
      <alignment horizontal="center" vertical="center"/>
    </xf>
    <xf numFmtId="10" fontId="24" fillId="2" borderId="39" xfId="2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47" fillId="20" borderId="0" xfId="3" applyFont="1" applyFill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3" xfId="3" applyFont="1" applyFill="1" applyBorder="1" applyAlignment="1">
      <alignment horizontal="center" vertical="center" wrapText="1"/>
    </xf>
    <xf numFmtId="0" fontId="56" fillId="5" borderId="5" xfId="3" applyFont="1" applyFill="1" applyBorder="1" applyAlignment="1">
      <alignment horizontal="center" vertical="center"/>
    </xf>
    <xf numFmtId="0" fontId="56" fillId="5" borderId="6" xfId="3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14" borderId="3" xfId="0" applyFont="1" applyFill="1" applyBorder="1" applyAlignment="1">
      <alignment horizontal="center" vertical="center" wrapText="1"/>
    </xf>
    <xf numFmtId="0" fontId="56" fillId="5" borderId="10" xfId="3" applyFont="1" applyFill="1" applyBorder="1" applyAlignment="1">
      <alignment horizontal="center" vertical="center" wrapText="1"/>
    </xf>
    <xf numFmtId="0" fontId="56" fillId="5" borderId="11" xfId="3" applyFont="1" applyFill="1" applyBorder="1" applyAlignment="1">
      <alignment horizontal="center" vertical="center" wrapText="1"/>
    </xf>
    <xf numFmtId="0" fontId="56" fillId="0" borderId="5" xfId="3" applyFont="1" applyFill="1" applyBorder="1" applyAlignment="1">
      <alignment horizontal="center" vertical="center"/>
    </xf>
    <xf numFmtId="0" fontId="56" fillId="0" borderId="6" xfId="3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7" fillId="19" borderId="15" xfId="0" applyFont="1" applyFill="1" applyBorder="1" applyAlignment="1">
      <alignment horizontal="center" vertical="center"/>
    </xf>
    <xf numFmtId="0" fontId="77" fillId="19" borderId="16" xfId="0" applyFont="1" applyFill="1" applyBorder="1" applyAlignment="1">
      <alignment horizontal="center" vertical="center"/>
    </xf>
    <xf numFmtId="0" fontId="77" fillId="19" borderId="17" xfId="0" applyFont="1" applyFill="1" applyBorder="1" applyAlignment="1">
      <alignment horizontal="center" vertical="center"/>
    </xf>
    <xf numFmtId="0" fontId="53" fillId="3" borderId="54" xfId="0" applyFont="1" applyFill="1" applyBorder="1" applyAlignment="1">
      <alignment horizontal="center" vertical="center"/>
    </xf>
    <xf numFmtId="0" fontId="53" fillId="3" borderId="51" xfId="0" applyFont="1" applyFill="1" applyBorder="1" applyAlignment="1">
      <alignment horizontal="center" vertical="center"/>
    </xf>
    <xf numFmtId="0" fontId="53" fillId="16" borderId="53" xfId="0" applyFont="1" applyFill="1" applyBorder="1" applyAlignment="1">
      <alignment horizontal="center"/>
    </xf>
    <xf numFmtId="0" fontId="53" fillId="16" borderId="52" xfId="0" applyFont="1" applyFill="1" applyBorder="1" applyAlignment="1">
      <alignment horizontal="center"/>
    </xf>
    <xf numFmtId="0" fontId="24" fillId="19" borderId="15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5" fillId="19" borderId="2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0" fontId="25" fillId="19" borderId="4" xfId="0" applyFont="1" applyFill="1" applyBorder="1" applyAlignment="1">
      <alignment horizontal="center" vertical="center"/>
    </xf>
    <xf numFmtId="0" fontId="50" fillId="13" borderId="8" xfId="0" applyFont="1" applyFill="1" applyBorder="1" applyAlignment="1">
      <alignment horizontal="right"/>
    </xf>
    <xf numFmtId="0" fontId="50" fillId="13" borderId="9" xfId="0" applyFont="1" applyFill="1" applyBorder="1" applyAlignment="1">
      <alignment horizontal="right"/>
    </xf>
    <xf numFmtId="0" fontId="25" fillId="19" borderId="41" xfId="0" applyFont="1" applyFill="1" applyBorder="1" applyAlignment="1">
      <alignment horizontal="center"/>
    </xf>
    <xf numFmtId="0" fontId="25" fillId="19" borderId="42" xfId="0" applyFont="1" applyFill="1" applyBorder="1" applyAlignment="1">
      <alignment horizontal="center"/>
    </xf>
    <xf numFmtId="0" fontId="53" fillId="3" borderId="35" xfId="0" applyFont="1" applyFill="1" applyBorder="1" applyAlignment="1">
      <alignment horizontal="center" vertical="center" wrapText="1"/>
    </xf>
    <xf numFmtId="0" fontId="53" fillId="3" borderId="37" xfId="0" applyFont="1" applyFill="1" applyBorder="1" applyAlignment="1">
      <alignment horizontal="center" vertical="center" wrapText="1"/>
    </xf>
    <xf numFmtId="0" fontId="53" fillId="3" borderId="31" xfId="0" applyFont="1" applyFill="1" applyBorder="1" applyAlignment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3" fillId="3" borderId="37" xfId="0" applyFont="1" applyFill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 wrapText="1"/>
    </xf>
    <xf numFmtId="0" fontId="56" fillId="16" borderId="40" xfId="0" applyFont="1" applyFill="1" applyBorder="1" applyAlignment="1">
      <alignment horizontal="left" vertical="center"/>
    </xf>
    <xf numFmtId="0" fontId="56" fillId="16" borderId="45" xfId="0" applyFont="1" applyFill="1" applyBorder="1" applyAlignment="1">
      <alignment horizontal="left" vertical="center"/>
    </xf>
    <xf numFmtId="0" fontId="79" fillId="20" borderId="0" xfId="3" applyFont="1" applyFill="1" applyAlignment="1">
      <alignment horizontal="center" vertical="center"/>
    </xf>
  </cellXfs>
  <cellStyles count="12">
    <cellStyle name="40% - Ênfase6" xfId="8" builtinId="51"/>
    <cellStyle name="Hiperlink" xfId="6" builtinId="8"/>
    <cellStyle name="Moeda" xfId="11" builtinId="4"/>
    <cellStyle name="Normal" xfId="0" builtinId="0"/>
    <cellStyle name="Normal 2 15" xfId="9" xr:uid="{54B08F1E-436F-4884-A106-40FEE80BF3E2}"/>
    <cellStyle name="Normal 6" xfId="3" xr:uid="{D3259184-68E2-410E-A522-A14F22DE1706}"/>
    <cellStyle name="Porcentagem" xfId="2" builtinId="5"/>
    <cellStyle name="Porcentagem 3" xfId="4" xr:uid="{A1029CBE-F83F-4A0F-B163-5B512F5C0AC4}"/>
    <cellStyle name="Vírgula" xfId="1" builtinId="3"/>
    <cellStyle name="Vírgula 2 5" xfId="10" xr:uid="{46D02007-50C0-4070-8222-C325D4079586}"/>
    <cellStyle name="Vírgula 3" xfId="7" xr:uid="{6B8F748A-0A4F-412C-B9E4-DE3F526713D9}"/>
    <cellStyle name="Vírgula 4" xfId="5" xr:uid="{96D25276-2EDF-4C99-9B3C-72D288E38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b9a5c513be41fc6e/AGR/TARIFAS/Revis&#227;o%20Tarif&#225;ria%20Ordin&#225;ria%202021/PLANILHAS%20REVIS&#195;O%202021/Planilhas%20FINAIS%20-%20Ap&#243;s%20consulta/Planilhas%20Preliminares%20Consulta%20P&#250;blica%20-%20usando%20m&#233;dia%20geom&#233;trica%20e%20aritm&#233;tica/Revis&#227;o%20Tarif&#225;ria%202021%20-%20PC001%20-%20Preliminar%20-%2030-11-21.xlsx?A74C2402" TargetMode="External"/><Relationship Id="rId1" Type="http://schemas.openxmlformats.org/officeDocument/2006/relationships/externalLinkPath" Target="file:///\\A74C2402\Revis&#227;o%20Tarif&#225;ria%202021%20-%20PC001%20-%20Preliminar%20-%2030-1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RESULTADO Após IPCA"/>
      <sheetName val="Fator X"/>
      <sheetName val="DE1 - Dados Oper. - Histórico"/>
      <sheetName val="DE2 - Nº Funcionários-Histórico"/>
      <sheetName val="DE3 - BP - Histórico"/>
      <sheetName val="DE4 - DRE - Histórico"/>
      <sheetName val="DE5 - DFC - Histórico"/>
      <sheetName val="DE6 - Deduções Receita Bruta"/>
      <sheetName val="DE7 - CAPEX"/>
      <sheetName val="DE8 - Outras Receitas"/>
      <sheetName val="DE9 - Tarifa Básica (CMF)"/>
      <sheetName val="IN - Indicadores"/>
      <sheetName val="P1 - Projeções Dados Oper."/>
      <sheetName val="P2 - Projeção OPEX"/>
      <sheetName val="P3 - WK - Capital de Giro"/>
      <sheetName val="P4 - Receitas Irrecuperáveis"/>
      <sheetName val="BAR0"/>
      <sheetName val="BARt"/>
      <sheetName val="Depreciação"/>
      <sheetName val="Fator X (componente T)"/>
      <sheetName val="WACC"/>
      <sheetName val="Comparativo OPEX Projet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0">
          <cell r="E20">
            <v>9893171192.77141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3745-0019-4023-977D-8A8572BFBC06}">
  <sheetPr codeName="Planilha29">
    <tabColor theme="8" tint="-0.499984740745262"/>
  </sheetPr>
  <dimension ref="B2:I41"/>
  <sheetViews>
    <sheetView showGridLines="0" topLeftCell="A11" zoomScale="85" zoomScaleNormal="85" workbookViewId="0">
      <selection activeCell="F40" sqref="F40"/>
    </sheetView>
  </sheetViews>
  <sheetFormatPr defaultColWidth="8.85546875" defaultRowHeight="14.25" x14ac:dyDescent="0.25"/>
  <cols>
    <col min="1" max="1" width="9.28515625" style="102" customWidth="1"/>
    <col min="2" max="2" width="55.7109375" style="102" customWidth="1"/>
    <col min="3" max="3" width="17.5703125" style="102" customWidth="1"/>
    <col min="4" max="7" width="15.7109375" style="102" customWidth="1"/>
    <col min="8" max="8" width="8.85546875" style="102"/>
    <col min="9" max="9" width="11.28515625" style="102" bestFit="1" customWidth="1"/>
    <col min="10" max="16384" width="8.85546875" style="102"/>
  </cols>
  <sheetData>
    <row r="2" spans="2:7" ht="21.6" customHeight="1" x14ac:dyDescent="0.25">
      <c r="B2" s="557" t="s">
        <v>613</v>
      </c>
      <c r="C2" s="557"/>
      <c r="D2" s="557"/>
      <c r="E2" s="557"/>
      <c r="F2" s="557"/>
      <c r="G2" s="557"/>
    </row>
    <row r="3" spans="2:7" ht="15" x14ac:dyDescent="0.25">
      <c r="B3" s="449"/>
      <c r="C3" s="445"/>
      <c r="D3" s="446"/>
      <c r="E3" s="447"/>
      <c r="F3" s="446"/>
      <c r="G3" s="448"/>
    </row>
    <row r="4" spans="2:7" ht="15" x14ac:dyDescent="0.25">
      <c r="B4" s="560" t="s">
        <v>614</v>
      </c>
      <c r="C4" s="450" t="s">
        <v>615</v>
      </c>
      <c r="D4" s="561" t="s">
        <v>616</v>
      </c>
      <c r="E4" s="561"/>
      <c r="F4" s="561"/>
      <c r="G4" s="561"/>
    </row>
    <row r="5" spans="2:7" ht="15" x14ac:dyDescent="0.25">
      <c r="B5" s="560"/>
      <c r="C5" s="451">
        <v>2020</v>
      </c>
      <c r="D5" s="451">
        <f>C5+1</f>
        <v>2021</v>
      </c>
      <c r="E5" s="451">
        <f t="shared" ref="E5:G5" si="0">D5+1</f>
        <v>2022</v>
      </c>
      <c r="F5" s="451">
        <f t="shared" si="0"/>
        <v>2023</v>
      </c>
      <c r="G5" s="451">
        <f t="shared" si="0"/>
        <v>2024</v>
      </c>
    </row>
    <row r="6" spans="2:7" ht="15" x14ac:dyDescent="0.25">
      <c r="B6" s="452"/>
      <c r="C6" s="453"/>
      <c r="D6" s="454">
        <v>1</v>
      </c>
      <c r="E6" s="454">
        <v>2</v>
      </c>
      <c r="F6" s="454">
        <v>3</v>
      </c>
      <c r="G6" s="454">
        <v>4</v>
      </c>
    </row>
    <row r="7" spans="2:7" ht="15" x14ac:dyDescent="0.25">
      <c r="B7" s="455" t="s">
        <v>617</v>
      </c>
      <c r="C7" s="456">
        <f>'P1 - Projeções Dados Oper.'!D9</f>
        <v>281550.77100000001</v>
      </c>
      <c r="D7" s="457">
        <f>'P1 - Projeções Dados Oper.'!E9</f>
        <v>292184.01656238904</v>
      </c>
      <c r="E7" s="457">
        <f>'P1 - Projeções Dados Oper.'!F9</f>
        <v>299324.01534057234</v>
      </c>
      <c r="F7" s="457">
        <f>'P1 - Projeções Dados Oper.'!G9</f>
        <v>306683.01422164188</v>
      </c>
      <c r="G7" s="457">
        <f>'P1 - Projeções Dados Oper.'!H9</f>
        <v>313981.75831237552</v>
      </c>
    </row>
    <row r="8" spans="2:7" ht="15" x14ac:dyDescent="0.25">
      <c r="B8" s="455" t="s">
        <v>703</v>
      </c>
      <c r="C8" s="456">
        <f>'P1 - Projeções Dados Oper.'!D16</f>
        <v>172183.12599999999</v>
      </c>
      <c r="D8" s="457">
        <f>'P1 - Projeções Dados Oper.'!E16</f>
        <v>181108.69386297074</v>
      </c>
      <c r="E8" s="457">
        <f>'P1 - Projeções Dados Oper.'!F16</f>
        <v>194487.84716711278</v>
      </c>
      <c r="F8" s="457">
        <f>'P1 - Projeções Dados Oper.'!G16</f>
        <v>206399.48152467082</v>
      </c>
      <c r="G8" s="457">
        <f>'P1 - Projeções Dados Oper.'!H16</f>
        <v>217449.53258227449</v>
      </c>
    </row>
    <row r="9" spans="2:7" ht="15" x14ac:dyDescent="0.25">
      <c r="B9" s="455" t="s">
        <v>702</v>
      </c>
      <c r="C9" s="456">
        <f>'P1 - Projeções Dados Oper.'!D17</f>
        <v>159726.89600000001</v>
      </c>
      <c r="D9" s="457">
        <f>'P1 - Projeções Dados Oper.'!E17</f>
        <v>168482.04670111727</v>
      </c>
      <c r="E9" s="457">
        <f>'P1 - Projeções Dados Oper.'!F17</f>
        <v>180950.19754647565</v>
      </c>
      <c r="F9" s="457">
        <f>'P1 - Projeções Dados Oper.'!G17</f>
        <v>192068.65194419216</v>
      </c>
      <c r="G9" s="457">
        <f>'P1 - Projeções Dados Oper.'!H17</f>
        <v>202416.96472234844</v>
      </c>
    </row>
    <row r="10" spans="2:7" ht="15" x14ac:dyDescent="0.25">
      <c r="B10" s="455" t="s">
        <v>619</v>
      </c>
      <c r="C10" s="456">
        <f>'P1 - Projeções Dados Oper.'!D19</f>
        <v>2522448</v>
      </c>
      <c r="D10" s="457">
        <f>'P1 - Projeções Dados Oper.'!E19</f>
        <v>2588557.2643689625</v>
      </c>
      <c r="E10" s="457">
        <f>'P1 - Projeções Dados Oper.'!F19</f>
        <v>2652764.7546233824</v>
      </c>
      <c r="F10" s="457">
        <f>'P1 - Projeções Dados Oper.'!G19</f>
        <v>2718859.0714079053</v>
      </c>
      <c r="G10" s="457">
        <f>'P1 - Projeções Dados Oper.'!H19</f>
        <v>2784749.6997312419</v>
      </c>
    </row>
    <row r="11" spans="2:7" ht="15" x14ac:dyDescent="0.25">
      <c r="B11" s="452"/>
      <c r="C11" s="453"/>
      <c r="D11" s="452"/>
      <c r="E11" s="452"/>
      <c r="F11" s="452"/>
      <c r="G11" s="452"/>
    </row>
    <row r="12" spans="2:7" ht="15" x14ac:dyDescent="0.25">
      <c r="B12" s="455" t="s">
        <v>669</v>
      </c>
      <c r="C12" s="456">
        <f t="shared" ref="C12:C27" si="1">NPV($C$36,D12:G12)</f>
        <v>5193992.5466962028</v>
      </c>
      <c r="D12" s="458">
        <f>D7*$D$40</f>
        <v>1527601.6187253145</v>
      </c>
      <c r="E12" s="458">
        <f>E7*$D$40</f>
        <v>1564931.0860232653</v>
      </c>
      <c r="F12" s="458">
        <f>F7*$D$40</f>
        <v>1603405.5335141984</v>
      </c>
      <c r="G12" s="458">
        <f>G7*$D$40</f>
        <v>1641564.9558496287</v>
      </c>
    </row>
    <row r="13" spans="2:7" ht="15" x14ac:dyDescent="0.25">
      <c r="B13" s="455" t="s">
        <v>670</v>
      </c>
      <c r="C13" s="456">
        <f t="shared" si="1"/>
        <v>2730345.1559580495</v>
      </c>
      <c r="D13" s="458">
        <f>D8*($D$40*0.8)</f>
        <v>757500.52905779507</v>
      </c>
      <c r="E13" s="458">
        <f>E8*($D$40*0.8)</f>
        <v>813459.82891283673</v>
      </c>
      <c r="F13" s="458">
        <f>F8*($D$40*0.8)</f>
        <v>863281.12205639062</v>
      </c>
      <c r="G13" s="458">
        <f>G8*($D$40*0.8)</f>
        <v>909498.77921968291</v>
      </c>
    </row>
    <row r="14" spans="2:7" ht="15" x14ac:dyDescent="0.25">
      <c r="B14" s="455" t="s">
        <v>671</v>
      </c>
      <c r="C14" s="456">
        <f t="shared" si="1"/>
        <v>635162.13007966033</v>
      </c>
      <c r="D14" s="458">
        <f>D9*($D$40*0.2)</f>
        <v>176172.16047259362</v>
      </c>
      <c r="E14" s="458">
        <f t="shared" ref="E14:G14" si="2">E9*($D$40*0.2)</f>
        <v>189209.40161806467</v>
      </c>
      <c r="F14" s="458">
        <f t="shared" si="2"/>
        <v>200835.34141826499</v>
      </c>
      <c r="G14" s="458">
        <f t="shared" si="2"/>
        <v>211655.98762401796</v>
      </c>
    </row>
    <row r="15" spans="2:7" ht="15" x14ac:dyDescent="0.25">
      <c r="B15" s="455" t="s">
        <v>672</v>
      </c>
      <c r="C15" s="456">
        <f t="shared" si="1"/>
        <v>1250965.1667138094</v>
      </c>
      <c r="D15" s="458">
        <f>(D10*$D$41)/1000</f>
        <v>367732.5528941208</v>
      </c>
      <c r="E15" s="458">
        <f>(E10*$D$41)/1000</f>
        <v>376853.92124520428</v>
      </c>
      <c r="F15" s="458">
        <f>(F10*$D$41)/1000</f>
        <v>386243.33370963758</v>
      </c>
      <c r="G15" s="458">
        <f>(G10*$D$41)/1000</f>
        <v>395603.81002540688</v>
      </c>
    </row>
    <row r="16" spans="2:7" ht="15" x14ac:dyDescent="0.25">
      <c r="B16" s="455" t="s">
        <v>620</v>
      </c>
      <c r="C16" s="456">
        <f t="shared" si="1"/>
        <v>29904.008797595598</v>
      </c>
      <c r="D16" s="458">
        <f>'DE8 - Outras Receitas'!D18</f>
        <v>9100</v>
      </c>
      <c r="E16" s="458">
        <f>D16</f>
        <v>9100</v>
      </c>
      <c r="F16" s="458">
        <f t="shared" ref="F16:G16" si="3">E16</f>
        <v>9100</v>
      </c>
      <c r="G16" s="458">
        <f t="shared" si="3"/>
        <v>9100</v>
      </c>
    </row>
    <row r="17" spans="2:9" ht="15" x14ac:dyDescent="0.25">
      <c r="B17" s="455" t="s">
        <v>621</v>
      </c>
      <c r="C17" s="456">
        <f t="shared" si="1"/>
        <v>8103.8427159520588</v>
      </c>
      <c r="D17" s="458">
        <f>(D12+D13+D14)*'DE8 - Outras Receitas'!$D$11</f>
        <v>2330.2506296734418</v>
      </c>
      <c r="E17" s="458">
        <f>(E12+E13+E14)*'DE8 - Outras Receitas'!$D$11</f>
        <v>2430.9164705173866</v>
      </c>
      <c r="F17" s="458">
        <f>(F12+F13+F14)*'DE8 - Outras Receitas'!$D$11</f>
        <v>2525.5189120128134</v>
      </c>
      <c r="G17" s="458">
        <f>(G12+G13+G14)*'DE8 - Outras Receitas'!$D$11</f>
        <v>2615.6488741719472</v>
      </c>
    </row>
    <row r="18" spans="2:9" ht="15" x14ac:dyDescent="0.25">
      <c r="B18" s="459" t="s">
        <v>677</v>
      </c>
      <c r="C18" s="460">
        <f t="shared" si="1"/>
        <v>9848472.8509612717</v>
      </c>
      <c r="D18" s="460">
        <f t="shared" ref="D18:G18" si="4">SUM(D12:D17)</f>
        <v>2840437.1117794975</v>
      </c>
      <c r="E18" s="460">
        <f t="shared" si="4"/>
        <v>2955985.1542698885</v>
      </c>
      <c r="F18" s="460">
        <f t="shared" si="4"/>
        <v>3065390.8496105042</v>
      </c>
      <c r="G18" s="460">
        <f t="shared" si="4"/>
        <v>3170039.1815929087</v>
      </c>
      <c r="I18" s="444"/>
    </row>
    <row r="19" spans="2:9" ht="15" x14ac:dyDescent="0.25">
      <c r="B19" s="455" t="s">
        <v>622</v>
      </c>
      <c r="C19" s="456">
        <f t="shared" si="1"/>
        <v>833773.13502619439</v>
      </c>
      <c r="D19" s="458">
        <f>(D12+D13+D14+D15)*'DE6 - Deduções Receita Bruta'!$D$9</f>
        <v>240432.02027266676</v>
      </c>
      <c r="E19" s="458">
        <f>(E12+E13+E14+E15)*'DE6 - Deduções Receita Bruta'!$D$9</f>
        <v>250243.67763702833</v>
      </c>
      <c r="F19" s="458">
        <f>(F12+F13+F14+F15)*'DE6 - Deduções Receita Bruta'!$D$9</f>
        <v>259533.82368257968</v>
      </c>
      <c r="G19" s="458">
        <f>(G12+G13+G14+G15)*'DE6 - Deduções Receita Bruta'!$D$9</f>
        <v>268420.03039103129</v>
      </c>
    </row>
    <row r="20" spans="2:9" ht="15" x14ac:dyDescent="0.25">
      <c r="B20" s="455" t="s">
        <v>676</v>
      </c>
      <c r="C20" s="456">
        <f t="shared" si="1"/>
        <v>5683961.1363489404</v>
      </c>
      <c r="D20" s="458">
        <f>'P2 - Projeção OPEX'!E13</f>
        <v>1689539.9146108301</v>
      </c>
      <c r="E20" s="458">
        <f>'P2 - Projeção OPEX'!F13</f>
        <v>1717717.0095084861</v>
      </c>
      <c r="F20" s="458">
        <f>'P2 - Projeção OPEX'!G13</f>
        <v>1746830.926187065</v>
      </c>
      <c r="G20" s="458">
        <f>'P2 - Projeção OPEX'!H13</f>
        <v>1776157.764371081</v>
      </c>
    </row>
    <row r="21" spans="2:9" ht="15" x14ac:dyDescent="0.25">
      <c r="B21" s="455" t="s">
        <v>623</v>
      </c>
      <c r="C21" s="456">
        <f t="shared" si="1"/>
        <v>1053768.6442337213</v>
      </c>
      <c r="D21" s="458">
        <f>Depreciação!D24</f>
        <v>292320.14212478488</v>
      </c>
      <c r="E21" s="458">
        <f>Depreciação!E24</f>
        <v>314054.97767301468</v>
      </c>
      <c r="F21" s="458">
        <f>Depreciação!F24</f>
        <v>337673.23196844279</v>
      </c>
      <c r="G21" s="458">
        <f>Depreciação!G24</f>
        <v>346074.65572066628</v>
      </c>
    </row>
    <row r="22" spans="2:9" ht="15" x14ac:dyDescent="0.25">
      <c r="B22" s="455" t="s">
        <v>624</v>
      </c>
      <c r="C22" s="456">
        <f t="shared" si="1"/>
        <v>168196.99194419509</v>
      </c>
      <c r="D22" s="458">
        <f>(D12+D13+D14+D15)*'P4 - Receitas Irrecuperáveis'!$F$8</f>
        <v>48502.333402308286</v>
      </c>
      <c r="E22" s="458">
        <f>(E12+E13+E14+E15)*'P4 - Receitas Irrecuperáveis'!$F$8</f>
        <v>50481.638305938788</v>
      </c>
      <c r="F22" s="458">
        <f>(F12+F13+F14+F15)*'P4 - Receitas Irrecuperáveis'!$F$8</f>
        <v>52355.738770371368</v>
      </c>
      <c r="G22" s="458">
        <f>(G12+G13+G14+G15)*'P4 - Receitas Irrecuperáveis'!$F$8</f>
        <v>54148.352582651285</v>
      </c>
    </row>
    <row r="23" spans="2:9" ht="15" x14ac:dyDescent="0.25">
      <c r="B23" s="455" t="s">
        <v>625</v>
      </c>
      <c r="C23" s="456">
        <f t="shared" si="1"/>
        <v>2108772.9434082182</v>
      </c>
      <c r="D23" s="458">
        <f>D18-D19-D20-D21-D22</f>
        <v>569642.70136890758</v>
      </c>
      <c r="E23" s="458">
        <f t="shared" ref="E23:G23" si="5">E18-E19-E20-E21-E22</f>
        <v>623487.85114542046</v>
      </c>
      <c r="F23" s="458">
        <f t="shared" si="5"/>
        <v>668997.12900204537</v>
      </c>
      <c r="G23" s="458">
        <f t="shared" si="5"/>
        <v>725238.37852747866</v>
      </c>
    </row>
    <row r="24" spans="2:9" ht="15" x14ac:dyDescent="0.25">
      <c r="B24" s="455" t="s">
        <v>626</v>
      </c>
      <c r="C24" s="456">
        <f t="shared" si="1"/>
        <v>716982.80075879442</v>
      </c>
      <c r="D24" s="458">
        <f>D23*0.34</f>
        <v>193678.51846542858</v>
      </c>
      <c r="E24" s="458">
        <f t="shared" ref="E24:G24" si="6">E23*0.34</f>
        <v>211985.86938944296</v>
      </c>
      <c r="F24" s="458">
        <f t="shared" si="6"/>
        <v>227459.02386069545</v>
      </c>
      <c r="G24" s="458">
        <f t="shared" si="6"/>
        <v>246581.04869934276</v>
      </c>
    </row>
    <row r="25" spans="2:9" ht="15" x14ac:dyDescent="0.25">
      <c r="B25" s="455" t="s">
        <v>698</v>
      </c>
      <c r="C25" s="456">
        <f t="shared" si="1"/>
        <v>1625617.6474090931</v>
      </c>
      <c r="D25" s="458">
        <f>'DE7 - CAPEX'!H20/1000</f>
        <v>374904.57954815461</v>
      </c>
      <c r="E25" s="458">
        <f>'DE7 - CAPEX'!I20/1000</f>
        <v>644210.58113128517</v>
      </c>
      <c r="F25" s="458">
        <f>'DE7 - CAPEX'!J20/1000</f>
        <v>700034.25106215919</v>
      </c>
      <c r="G25" s="458">
        <f>'DE7 - CAPEX'!K20/1000</f>
        <v>249014.35604333004</v>
      </c>
    </row>
    <row r="26" spans="2:9" ht="15" x14ac:dyDescent="0.25">
      <c r="B26" s="455" t="s">
        <v>678</v>
      </c>
      <c r="C26" s="456">
        <f t="shared" si="1"/>
        <v>53854.472341761153</v>
      </c>
      <c r="D26" s="458">
        <f>'P3 - WK - Capital de Giro'!D20</f>
        <v>11269.689765304618</v>
      </c>
      <c r="E26" s="458">
        <f>'P3 - WK - Capital de Giro'!E20</f>
        <v>19429.675092119433</v>
      </c>
      <c r="F26" s="458">
        <f>'P3 - WK - Capital de Giro'!F20</f>
        <v>18219.523578774708</v>
      </c>
      <c r="G26" s="458">
        <f>'P3 - WK - Capital de Giro'!G20</f>
        <v>17344.958026264969</v>
      </c>
    </row>
    <row r="27" spans="2:9" ht="15" x14ac:dyDescent="0.25">
      <c r="B27" s="455" t="s">
        <v>628</v>
      </c>
      <c r="C27" s="456">
        <f t="shared" si="1"/>
        <v>1053768.6442337213</v>
      </c>
      <c r="D27" s="458">
        <f>D21</f>
        <v>292320.14212478488</v>
      </c>
      <c r="E27" s="458">
        <f t="shared" ref="E27:G27" si="7">E21</f>
        <v>314054.97767301468</v>
      </c>
      <c r="F27" s="458">
        <f t="shared" si="7"/>
        <v>337673.23196844279</v>
      </c>
      <c r="G27" s="458">
        <f t="shared" si="7"/>
        <v>346074.65572066628</v>
      </c>
    </row>
    <row r="28" spans="2:9" ht="15" x14ac:dyDescent="0.25">
      <c r="B28" s="455" t="s">
        <v>679</v>
      </c>
      <c r="C28" s="456">
        <f>BAR0!E27/1000</f>
        <v>4757157.2835658239</v>
      </c>
      <c r="D28" s="458"/>
      <c r="E28" s="458"/>
      <c r="F28" s="458"/>
      <c r="G28" s="458"/>
    </row>
    <row r="29" spans="2:9" ht="15" x14ac:dyDescent="0.25">
      <c r="B29" s="455" t="s">
        <v>680</v>
      </c>
      <c r="C29" s="456">
        <f>NPV(C36,D29:G29)</f>
        <v>5077277.8990448173</v>
      </c>
      <c r="D29" s="458"/>
      <c r="E29" s="458"/>
      <c r="F29" s="458"/>
      <c r="G29" s="456">
        <f>BARt!E9</f>
        <v>5501461.890326309</v>
      </c>
    </row>
    <row r="30" spans="2:9" ht="15" x14ac:dyDescent="0.25">
      <c r="B30" s="452"/>
      <c r="C30" s="452"/>
      <c r="D30" s="452"/>
      <c r="E30" s="452"/>
      <c r="F30" s="452"/>
      <c r="G30" s="452"/>
    </row>
    <row r="31" spans="2:9" ht="15" x14ac:dyDescent="0.25">
      <c r="B31" s="455" t="s">
        <v>629</v>
      </c>
      <c r="C31" s="456">
        <f>-C28</f>
        <v>-4757157.2835658239</v>
      </c>
      <c r="D31" s="456">
        <f>D23-D24-D25-D26+D27-D28+D29</f>
        <v>282110.05571480462</v>
      </c>
      <c r="E31" s="456">
        <f t="shared" ref="E31:G31" si="8">E23-E24-E25-E26+E27-E28+E29</f>
        <v>61916.703205587575</v>
      </c>
      <c r="F31" s="456">
        <f t="shared" si="8"/>
        <v>60957.562468858843</v>
      </c>
      <c r="G31" s="456">
        <f t="shared" si="8"/>
        <v>6059834.5618055165</v>
      </c>
      <c r="I31" s="444"/>
    </row>
    <row r="32" spans="2:9" ht="15" x14ac:dyDescent="0.25">
      <c r="B32" s="455" t="s">
        <v>630</v>
      </c>
      <c r="C32" s="456">
        <f>C31</f>
        <v>-4757157.2835658239</v>
      </c>
      <c r="D32" s="456">
        <f>D31/(1+$C$36)^D6</f>
        <v>260358.27922351059</v>
      </c>
      <c r="E32" s="456">
        <f>E31/(1+$C$36)^E6</f>
        <v>52736.763786679738</v>
      </c>
      <c r="F32" s="456">
        <f>F31/(1+$C$36)^F6</f>
        <v>47916.6083197146</v>
      </c>
      <c r="G32" s="456">
        <f>G31/(1+$C$36)^G6</f>
        <v>4396145.6322359182</v>
      </c>
    </row>
    <row r="33" spans="2:7" ht="15" x14ac:dyDescent="0.25">
      <c r="B33" s="461"/>
      <c r="C33" s="462"/>
      <c r="D33" s="453"/>
      <c r="E33" s="453"/>
      <c r="F33" s="453"/>
      <c r="G33" s="462"/>
    </row>
    <row r="34" spans="2:7" ht="15.75" thickBot="1" x14ac:dyDescent="0.3">
      <c r="B34" s="445"/>
      <c r="C34" s="445"/>
      <c r="D34" s="453"/>
      <c r="E34" s="453"/>
      <c r="F34" s="453"/>
      <c r="G34" s="445"/>
    </row>
    <row r="35" spans="2:7" ht="15" x14ac:dyDescent="0.25">
      <c r="B35" s="463" t="s">
        <v>631</v>
      </c>
      <c r="C35" s="464">
        <f>SUM(C32:G32)</f>
        <v>0</v>
      </c>
      <c r="D35" s="453"/>
      <c r="E35" s="453"/>
      <c r="F35" s="453"/>
      <c r="G35" s="445"/>
    </row>
    <row r="36" spans="2:7" ht="15.75" thickBot="1" x14ac:dyDescent="0.3">
      <c r="B36" s="465" t="s">
        <v>634</v>
      </c>
      <c r="C36" s="466">
        <f>WACC!B27</f>
        <v>8.3545553289744764E-2</v>
      </c>
      <c r="D36" s="453"/>
      <c r="E36" s="453"/>
      <c r="F36" s="453"/>
      <c r="G36" s="467"/>
    </row>
    <row r="37" spans="2:7" ht="15.75" thickBot="1" x14ac:dyDescent="0.3">
      <c r="B37" s="468"/>
      <c r="C37" s="469"/>
      <c r="D37" s="462"/>
      <c r="E37" s="462"/>
      <c r="F37" s="462"/>
      <c r="G37" s="467"/>
    </row>
    <row r="38" spans="2:7" ht="15.75" thickBot="1" x14ac:dyDescent="0.3">
      <c r="B38" s="469"/>
      <c r="C38" s="469"/>
      <c r="D38" s="562" t="s">
        <v>636</v>
      </c>
      <c r="E38" s="563"/>
      <c r="F38" s="564"/>
      <c r="G38" s="467"/>
    </row>
    <row r="39" spans="2:7" ht="15" x14ac:dyDescent="0.25">
      <c r="B39" s="558" t="s">
        <v>639</v>
      </c>
      <c r="C39" s="559" t="s">
        <v>454</v>
      </c>
      <c r="D39" s="481" t="s">
        <v>632</v>
      </c>
      <c r="E39" s="481" t="s">
        <v>633</v>
      </c>
      <c r="F39" s="433" t="s">
        <v>531</v>
      </c>
      <c r="G39" s="467"/>
    </row>
    <row r="40" spans="2:7" ht="15" x14ac:dyDescent="0.25">
      <c r="B40" s="470" t="s">
        <v>93</v>
      </c>
      <c r="C40" s="471" t="s">
        <v>637</v>
      </c>
      <c r="D40" s="472">
        <v>5.2282176030636194</v>
      </c>
      <c r="E40" s="472">
        <f>'IN - Indicadores'!D24</f>
        <v>5.2478847589445952</v>
      </c>
      <c r="F40" s="473">
        <f>D40/E40-1</f>
        <v>-3.7476348632570211E-3</v>
      </c>
      <c r="G40" s="467"/>
    </row>
    <row r="41" spans="2:7" ht="15.75" thickBot="1" x14ac:dyDescent="0.3">
      <c r="B41" s="474" t="s">
        <v>635</v>
      </c>
      <c r="C41" s="475" t="s">
        <v>638</v>
      </c>
      <c r="D41" s="476">
        <v>142.06081432151223</v>
      </c>
      <c r="E41" s="477">
        <f>'IN - Indicadores'!D25</f>
        <v>142.59520909846307</v>
      </c>
      <c r="F41" s="478">
        <f>D41/E41-1</f>
        <v>-3.7476348632571321E-3</v>
      </c>
    </row>
  </sheetData>
  <mergeCells count="5">
    <mergeCell ref="B2:G2"/>
    <mergeCell ref="B39:C39"/>
    <mergeCell ref="B4:B5"/>
    <mergeCell ref="D4:G4"/>
    <mergeCell ref="D38:F3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A177-DF6C-47FB-A18D-6C0CEB6EFD95}">
  <sheetPr codeName="Planilha16">
    <tabColor theme="9" tint="0.59999389629810485"/>
  </sheetPr>
  <dimension ref="A1:Q252"/>
  <sheetViews>
    <sheetView workbookViewId="0">
      <selection activeCell="D4" sqref="D4:L20"/>
    </sheetView>
  </sheetViews>
  <sheetFormatPr defaultColWidth="8.85546875" defaultRowHeight="14.25" x14ac:dyDescent="0.25"/>
  <cols>
    <col min="1" max="1" width="4" style="102" bestFit="1" customWidth="1"/>
    <col min="2" max="2" width="5" style="102" hidden="1" customWidth="1"/>
    <col min="3" max="3" width="14.28515625" style="102" customWidth="1"/>
    <col min="4" max="4" width="34.42578125" style="102" customWidth="1"/>
    <col min="5" max="5" width="7" style="102" customWidth="1"/>
    <col min="6" max="6" width="8.28515625" style="102" customWidth="1"/>
    <col min="7" max="7" width="11.85546875" style="102" customWidth="1"/>
    <col min="8" max="9" width="16.5703125" style="102" bestFit="1" customWidth="1"/>
    <col min="10" max="11" width="16.140625" style="102" customWidth="1"/>
    <col min="12" max="12" width="18.42578125" style="102" bestFit="1" customWidth="1"/>
    <col min="13" max="16384" width="8.85546875" style="102"/>
  </cols>
  <sheetData>
    <row r="1" spans="1:17" x14ac:dyDescent="0.25">
      <c r="B1" s="585" t="s">
        <v>157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7" x14ac:dyDescent="0.25"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1:17" ht="21" customHeight="1" x14ac:dyDescent="0.25"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1:17" ht="15.75" x14ac:dyDescent="0.25">
      <c r="D4" s="413" t="s">
        <v>687</v>
      </c>
      <c r="E4" s="387"/>
      <c r="F4" s="387"/>
      <c r="G4" s="387"/>
      <c r="H4" s="387"/>
      <c r="I4" s="387"/>
      <c r="J4" s="387"/>
      <c r="K4" s="387"/>
    </row>
    <row r="5" spans="1:17" ht="15.75" x14ac:dyDescent="0.25">
      <c r="D5" s="414" t="s">
        <v>688</v>
      </c>
      <c r="E5" s="414"/>
      <c r="F5" s="414"/>
      <c r="G5" s="414"/>
      <c r="H5" s="415">
        <v>2021</v>
      </c>
      <c r="I5" s="415">
        <v>2022</v>
      </c>
      <c r="J5" s="415">
        <v>2023</v>
      </c>
      <c r="K5" s="415">
        <v>2024</v>
      </c>
      <c r="L5" s="415" t="s">
        <v>32</v>
      </c>
      <c r="M5" s="387"/>
      <c r="N5" s="387"/>
    </row>
    <row r="6" spans="1:17" ht="15.75" x14ac:dyDescent="0.25">
      <c r="D6" s="416" t="s">
        <v>689</v>
      </c>
      <c r="E6" s="416"/>
      <c r="F6" s="416"/>
      <c r="G6" s="416"/>
      <c r="H6" s="417">
        <v>211915522.16632876</v>
      </c>
      <c r="I6" s="417">
        <v>489332686.15522361</v>
      </c>
      <c r="J6" s="417">
        <v>496692773.43206835</v>
      </c>
      <c r="K6" s="417">
        <v>221694431.25394052</v>
      </c>
      <c r="L6" s="417">
        <f>SUBTOTAL(9,H6:K6)</f>
        <v>1419635413.0075612</v>
      </c>
      <c r="M6" s="387"/>
      <c r="N6" s="387"/>
    </row>
    <row r="7" spans="1:17" ht="15.75" x14ac:dyDescent="0.25">
      <c r="D7" s="416" t="s">
        <v>690</v>
      </c>
      <c r="E7" s="416"/>
      <c r="F7" s="416"/>
      <c r="G7" s="416"/>
      <c r="H7" s="417">
        <v>195568265.34456044</v>
      </c>
      <c r="I7" s="417">
        <v>240127840.16677085</v>
      </c>
      <c r="J7" s="417">
        <v>321740527.17764729</v>
      </c>
      <c r="K7" s="417">
        <v>78170454.266608834</v>
      </c>
      <c r="L7" s="417">
        <f>SUBTOTAL(9,H7:K7)</f>
        <v>835607086.95558751</v>
      </c>
      <c r="M7" s="387"/>
      <c r="N7" s="387"/>
    </row>
    <row r="8" spans="1:17" ht="15.75" x14ac:dyDescent="0.25">
      <c r="D8" s="418" t="s">
        <v>691</v>
      </c>
      <c r="E8" s="418"/>
      <c r="F8" s="418"/>
      <c r="G8" s="418"/>
      <c r="H8" s="419">
        <f>H6+H7</f>
        <v>407483787.51088917</v>
      </c>
      <c r="I8" s="419">
        <f>I6+I7</f>
        <v>729460526.32199442</v>
      </c>
      <c r="J8" s="419">
        <f>J6+J7</f>
        <v>818433300.6097157</v>
      </c>
      <c r="K8" s="419">
        <f>K6+K7</f>
        <v>299864885.52054936</v>
      </c>
      <c r="L8" s="419">
        <f>L6+L7</f>
        <v>2255242499.9631486</v>
      </c>
      <c r="M8" s="387"/>
      <c r="N8" s="387"/>
    </row>
    <row r="9" spans="1:17" s="387" customFormat="1" ht="15.75" x14ac:dyDescent="0.25">
      <c r="A9" s="412"/>
      <c r="B9" s="413" t="s">
        <v>693</v>
      </c>
    </row>
    <row r="10" spans="1:17" s="387" customFormat="1" ht="15.75" x14ac:dyDescent="0.25">
      <c r="C10" s="412"/>
      <c r="D10" s="414" t="s">
        <v>694</v>
      </c>
      <c r="E10" s="414"/>
      <c r="F10" s="414"/>
      <c r="G10" s="414"/>
      <c r="H10" s="415">
        <v>2021</v>
      </c>
      <c r="I10" s="415">
        <v>2022</v>
      </c>
      <c r="J10" s="415">
        <v>2023</v>
      </c>
      <c r="K10" s="415">
        <v>2024</v>
      </c>
      <c r="L10" s="415" t="s">
        <v>695</v>
      </c>
    </row>
    <row r="11" spans="1:17" s="387" customFormat="1" ht="15.75" x14ac:dyDescent="0.25">
      <c r="C11" s="412"/>
      <c r="D11" s="416" t="s">
        <v>696</v>
      </c>
      <c r="E11" s="416"/>
      <c r="F11" s="416"/>
      <c r="G11" s="416"/>
      <c r="H11" s="425">
        <v>8.6900000000000005E-2</v>
      </c>
      <c r="I11" s="425">
        <v>4.1799999999999997E-2</v>
      </c>
      <c r="J11" s="425">
        <v>3.2500000000000001E-2</v>
      </c>
      <c r="K11" s="425">
        <v>0.03</v>
      </c>
      <c r="L11" s="425">
        <f>(((1+H11)*(1+I11)*(1+J11)*(1+K11))^(1/4))-1</f>
        <v>4.755131586059802E-2</v>
      </c>
    </row>
    <row r="12" spans="1:17" s="387" customFormat="1" ht="15.75" x14ac:dyDescent="0.25">
      <c r="C12" s="412"/>
      <c r="D12" s="416" t="s">
        <v>737</v>
      </c>
      <c r="E12" s="416"/>
      <c r="F12" s="416"/>
      <c r="G12" s="416"/>
      <c r="H12" s="425">
        <f>H11</f>
        <v>8.6900000000000005E-2</v>
      </c>
      <c r="I12" s="425">
        <f>((1+H12)*(1+I11))-1</f>
        <v>0.13233242000000001</v>
      </c>
      <c r="J12" s="425">
        <f t="shared" ref="J12:K12" si="0">((1+I12)*(1+J11))-1</f>
        <v>0.16913322365000005</v>
      </c>
      <c r="K12" s="425">
        <f t="shared" si="0"/>
        <v>0.20420722035950001</v>
      </c>
      <c r="L12" s="425"/>
    </row>
    <row r="13" spans="1:17" s="387" customFormat="1" ht="7.5" customHeight="1" x14ac:dyDescent="0.25">
      <c r="C13" s="412"/>
    </row>
    <row r="14" spans="1:17" s="422" customFormat="1" ht="13.5" x14ac:dyDescent="0.25">
      <c r="C14" s="423"/>
      <c r="D14" s="422" t="s">
        <v>716</v>
      </c>
      <c r="P14" s="424"/>
      <c r="Q14" s="424"/>
    </row>
    <row r="15" spans="1:17" s="387" customFormat="1" ht="15.75" x14ac:dyDescent="0.25">
      <c r="C15" s="412"/>
    </row>
    <row r="16" spans="1:17" s="387" customFormat="1" ht="15.75" x14ac:dyDescent="0.25">
      <c r="C16" s="412"/>
      <c r="D16" s="413" t="s">
        <v>697</v>
      </c>
      <c r="E16" s="413"/>
      <c r="F16" s="413"/>
      <c r="G16" s="413"/>
      <c r="H16" s="492">
        <v>1</v>
      </c>
      <c r="I16" s="492">
        <v>2</v>
      </c>
      <c r="J16" s="492">
        <v>3</v>
      </c>
      <c r="K16" s="492">
        <v>4</v>
      </c>
      <c r="L16" s="426"/>
    </row>
    <row r="17" spans="1:14" s="387" customFormat="1" ht="15.75" x14ac:dyDescent="0.25">
      <c r="C17" s="412"/>
      <c r="D17" s="414" t="s">
        <v>688</v>
      </c>
      <c r="E17" s="414"/>
      <c r="F17" s="414"/>
      <c r="G17" s="414"/>
      <c r="H17" s="415">
        <v>2021</v>
      </c>
      <c r="I17" s="415">
        <v>2022</v>
      </c>
      <c r="J17" s="415">
        <v>2023</v>
      </c>
      <c r="K17" s="415">
        <v>2024</v>
      </c>
      <c r="L17" s="415" t="s">
        <v>32</v>
      </c>
    </row>
    <row r="18" spans="1:14" s="387" customFormat="1" ht="15.75" x14ac:dyDescent="0.25">
      <c r="C18" s="412"/>
      <c r="D18" s="416" t="s">
        <v>689</v>
      </c>
      <c r="E18" s="416"/>
      <c r="F18" s="416"/>
      <c r="G18" s="416"/>
      <c r="H18" s="417">
        <f>H6/(1+H12)</f>
        <v>194972418.95880833</v>
      </c>
      <c r="I18" s="417">
        <f>I6/(1+I12)</f>
        <v>432145788.20875198</v>
      </c>
      <c r="J18" s="417">
        <f>J6/(1+J12)</f>
        <v>424838472.96838242</v>
      </c>
      <c r="K18" s="417">
        <f>K6/(1+K12)</f>
        <v>184099901.99839243</v>
      </c>
      <c r="L18" s="417">
        <f>SUM(H18:K18)</f>
        <v>1236056582.134335</v>
      </c>
    </row>
    <row r="19" spans="1:14" s="387" customFormat="1" ht="15.75" x14ac:dyDescent="0.25">
      <c r="C19" s="412"/>
      <c r="D19" s="416" t="s">
        <v>690</v>
      </c>
      <c r="E19" s="416"/>
      <c r="F19" s="416"/>
      <c r="G19" s="416"/>
      <c r="H19" s="417">
        <f>H7/(1+H12)</f>
        <v>179932160.58934626</v>
      </c>
      <c r="I19" s="417">
        <f t="shared" ref="I19:K19" si="1">I7/(1+I12)</f>
        <v>212064792.92253315</v>
      </c>
      <c r="J19" s="417">
        <f t="shared" si="1"/>
        <v>275195778.09377676</v>
      </c>
      <c r="K19" s="417">
        <f t="shared" si="1"/>
        <v>64914454.044937618</v>
      </c>
      <c r="L19" s="417">
        <f>SUM(H19:K19)</f>
        <v>732107185.65059376</v>
      </c>
    </row>
    <row r="20" spans="1:14" s="387" customFormat="1" ht="15.75" x14ac:dyDescent="0.25">
      <c r="C20" s="412"/>
      <c r="D20" s="418" t="s">
        <v>691</v>
      </c>
      <c r="E20" s="418"/>
      <c r="F20" s="418"/>
      <c r="G20" s="418"/>
      <c r="H20" s="419">
        <f>H18+H19</f>
        <v>374904579.54815459</v>
      </c>
      <c r="I20" s="419">
        <f>I18+I19</f>
        <v>644210581.13128519</v>
      </c>
      <c r="J20" s="419">
        <f>J18+J19</f>
        <v>700034251.06215918</v>
      </c>
      <c r="K20" s="419">
        <f>K18+K19</f>
        <v>249014356.04333004</v>
      </c>
      <c r="L20" s="419">
        <f>L18+L19</f>
        <v>1968163767.7849288</v>
      </c>
    </row>
    <row r="21" spans="1:14" s="387" customFormat="1" ht="15.75" x14ac:dyDescent="0.25">
      <c r="C21" s="412"/>
      <c r="D21" s="420"/>
      <c r="E21" s="420"/>
      <c r="F21" s="420"/>
      <c r="G21" s="420"/>
      <c r="H21" s="421"/>
      <c r="I21" s="421"/>
      <c r="J21" s="421"/>
      <c r="K21" s="421"/>
      <c r="L21" s="421"/>
    </row>
    <row r="22" spans="1:14" ht="15.75" x14ac:dyDescent="0.25">
      <c r="D22" s="420"/>
      <c r="E22" s="420"/>
      <c r="F22" s="420"/>
      <c r="G22" s="420"/>
      <c r="H22" s="421"/>
      <c r="I22" s="421"/>
      <c r="J22" s="421"/>
      <c r="K22" s="421"/>
      <c r="L22" s="421"/>
      <c r="M22" s="387"/>
      <c r="N22" s="387"/>
    </row>
    <row r="23" spans="1:14" ht="15.75" hidden="1" x14ac:dyDescent="0.25">
      <c r="D23" s="420"/>
      <c r="E23" s="420"/>
      <c r="F23" s="420"/>
      <c r="G23" s="420"/>
      <c r="H23" s="421">
        <f>SUBTOTAL(9,H26:H247)</f>
        <v>407483787.51088917</v>
      </c>
      <c r="I23" s="421">
        <f t="shared" ref="I23:K23" si="2">SUBTOTAL(9,I26:I247)</f>
        <v>729460526.32199466</v>
      </c>
      <c r="J23" s="421">
        <f t="shared" si="2"/>
        <v>818433300.60971594</v>
      </c>
      <c r="K23" s="421">
        <f t="shared" si="2"/>
        <v>299864885.52054924</v>
      </c>
      <c r="L23" s="421"/>
      <c r="M23" s="387"/>
      <c r="N23" s="387"/>
    </row>
    <row r="24" spans="1:14" ht="28.5" customHeight="1" x14ac:dyDescent="0.25">
      <c r="B24" s="588" t="s">
        <v>692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</row>
    <row r="25" spans="1:14" ht="28.5" customHeight="1" x14ac:dyDescent="0.25">
      <c r="A25" s="156"/>
      <c r="B25" s="157" t="s">
        <v>158</v>
      </c>
      <c r="C25" s="157" t="s">
        <v>159</v>
      </c>
      <c r="D25" s="157" t="s">
        <v>160</v>
      </c>
      <c r="E25" s="157" t="s">
        <v>161</v>
      </c>
      <c r="F25" s="157" t="s">
        <v>162</v>
      </c>
      <c r="G25" s="157" t="s">
        <v>163</v>
      </c>
      <c r="H25" s="158" t="s">
        <v>164</v>
      </c>
      <c r="I25" s="158" t="s">
        <v>165</v>
      </c>
      <c r="J25" s="158" t="s">
        <v>166</v>
      </c>
      <c r="K25" s="158" t="s">
        <v>167</v>
      </c>
      <c r="L25" s="158" t="s">
        <v>168</v>
      </c>
    </row>
    <row r="26" spans="1:14" ht="42.75" x14ac:dyDescent="0.25">
      <c r="A26" s="159">
        <v>1</v>
      </c>
      <c r="B26" s="160">
        <v>3</v>
      </c>
      <c r="C26" s="161" t="s">
        <v>169</v>
      </c>
      <c r="D26" s="161" t="s">
        <v>170</v>
      </c>
      <c r="E26" s="160" t="s">
        <v>171</v>
      </c>
      <c r="F26" s="161" t="s">
        <v>172</v>
      </c>
      <c r="G26" s="161" t="s">
        <v>173</v>
      </c>
      <c r="H26" s="162">
        <v>9024591.3818759993</v>
      </c>
      <c r="I26" s="162">
        <v>23755143.121488001</v>
      </c>
      <c r="J26" s="162">
        <v>1970328.5766360001</v>
      </c>
      <c r="K26" s="162"/>
      <c r="L26" s="163">
        <f t="shared" ref="L26:L89" si="3">SUM(H26:K26)</f>
        <v>34750063.079999998</v>
      </c>
    </row>
    <row r="27" spans="1:14" ht="42.75" x14ac:dyDescent="0.25">
      <c r="A27" s="164">
        <v>2</v>
      </c>
      <c r="B27" s="165">
        <v>630</v>
      </c>
      <c r="C27" s="166" t="s">
        <v>169</v>
      </c>
      <c r="D27" s="166" t="s">
        <v>174</v>
      </c>
      <c r="E27" s="165" t="s">
        <v>171</v>
      </c>
      <c r="F27" s="166" t="s">
        <v>172</v>
      </c>
      <c r="G27" s="166" t="s">
        <v>173</v>
      </c>
      <c r="H27" s="167"/>
      <c r="I27" s="167">
        <v>23226666.66666666</v>
      </c>
      <c r="J27" s="167">
        <v>39306666.666666657</v>
      </c>
      <c r="K27" s="167">
        <v>4466666.666666667</v>
      </c>
      <c r="L27" s="168">
        <f t="shared" si="3"/>
        <v>66999999.999999978</v>
      </c>
    </row>
    <row r="28" spans="1:14" ht="42.75" x14ac:dyDescent="0.25">
      <c r="A28" s="164">
        <v>3</v>
      </c>
      <c r="B28" s="165">
        <v>632</v>
      </c>
      <c r="C28" s="166" t="s">
        <v>169</v>
      </c>
      <c r="D28" s="166" t="s">
        <v>175</v>
      </c>
      <c r="E28" s="165" t="s">
        <v>171</v>
      </c>
      <c r="F28" s="166" t="s">
        <v>172</v>
      </c>
      <c r="G28" s="166" t="s">
        <v>173</v>
      </c>
      <c r="H28" s="167"/>
      <c r="I28" s="167">
        <v>18400000</v>
      </c>
      <c r="J28" s="167">
        <v>25760000</v>
      </c>
      <c r="K28" s="167">
        <v>1840000</v>
      </c>
      <c r="L28" s="168">
        <f t="shared" si="3"/>
        <v>46000000</v>
      </c>
    </row>
    <row r="29" spans="1:14" ht="28.5" x14ac:dyDescent="0.25">
      <c r="A29" s="164">
        <v>4</v>
      </c>
      <c r="B29" s="165">
        <v>7</v>
      </c>
      <c r="C29" s="166" t="s">
        <v>176</v>
      </c>
      <c r="D29" s="166" t="s">
        <v>177</v>
      </c>
      <c r="E29" s="165" t="s">
        <v>171</v>
      </c>
      <c r="F29" s="166" t="s">
        <v>178</v>
      </c>
      <c r="G29" s="166" t="s">
        <v>179</v>
      </c>
      <c r="H29" s="167">
        <v>1279154</v>
      </c>
      <c r="I29" s="167"/>
      <c r="J29" s="167"/>
      <c r="K29" s="167"/>
      <c r="L29" s="168">
        <f t="shared" si="3"/>
        <v>1279154</v>
      </c>
    </row>
    <row r="30" spans="1:14" ht="28.5" x14ac:dyDescent="0.25">
      <c r="A30" s="164">
        <v>5</v>
      </c>
      <c r="B30" s="165">
        <v>7</v>
      </c>
      <c r="C30" s="166" t="s">
        <v>176</v>
      </c>
      <c r="D30" s="166" t="s">
        <v>177</v>
      </c>
      <c r="E30" s="165" t="s">
        <v>171</v>
      </c>
      <c r="F30" s="166" t="s">
        <v>172</v>
      </c>
      <c r="G30" s="166" t="s">
        <v>173</v>
      </c>
      <c r="H30" s="167"/>
      <c r="I30" s="167"/>
      <c r="J30" s="167">
        <v>13333333.33333333</v>
      </c>
      <c r="K30" s="167">
        <v>26666666.66666666</v>
      </c>
      <c r="L30" s="168">
        <f t="shared" si="3"/>
        <v>39999999.999999993</v>
      </c>
    </row>
    <row r="31" spans="1:14" ht="28.5" x14ac:dyDescent="0.25">
      <c r="A31" s="159">
        <v>6</v>
      </c>
      <c r="B31" s="165">
        <v>9</v>
      </c>
      <c r="C31" s="166" t="s">
        <v>176</v>
      </c>
      <c r="D31" s="166" t="s">
        <v>180</v>
      </c>
      <c r="E31" s="165" t="s">
        <v>171</v>
      </c>
      <c r="F31" s="166" t="s">
        <v>178</v>
      </c>
      <c r="G31" s="166" t="s">
        <v>173</v>
      </c>
      <c r="H31" s="167"/>
      <c r="I31" s="167">
        <v>250000</v>
      </c>
      <c r="J31" s="167"/>
      <c r="K31" s="167"/>
      <c r="L31" s="168">
        <f t="shared" si="3"/>
        <v>250000</v>
      </c>
    </row>
    <row r="32" spans="1:14" ht="28.5" x14ac:dyDescent="0.25">
      <c r="A32" s="164">
        <v>7</v>
      </c>
      <c r="B32" s="165">
        <v>9</v>
      </c>
      <c r="C32" s="166" t="s">
        <v>176</v>
      </c>
      <c r="D32" s="166" t="s">
        <v>180</v>
      </c>
      <c r="E32" s="165" t="s">
        <v>171</v>
      </c>
      <c r="F32" s="166" t="s">
        <v>172</v>
      </c>
      <c r="G32" s="166" t="s">
        <v>173</v>
      </c>
      <c r="H32" s="167"/>
      <c r="I32" s="167"/>
      <c r="J32" s="167">
        <v>11764705.882352941</v>
      </c>
      <c r="K32" s="167">
        <v>25882352.94117647</v>
      </c>
      <c r="L32" s="168">
        <f t="shared" si="3"/>
        <v>37647058.823529407</v>
      </c>
    </row>
    <row r="33" spans="1:12" ht="28.5" x14ac:dyDescent="0.25">
      <c r="A33" s="164">
        <v>8</v>
      </c>
      <c r="B33" s="165">
        <v>883</v>
      </c>
      <c r="C33" s="166" t="s">
        <v>176</v>
      </c>
      <c r="D33" s="166" t="s">
        <v>181</v>
      </c>
      <c r="E33" s="165" t="s">
        <v>171</v>
      </c>
      <c r="F33" s="166" t="s">
        <v>172</v>
      </c>
      <c r="G33" s="166" t="s">
        <v>173</v>
      </c>
      <c r="H33" s="167">
        <v>4712215.1900000004</v>
      </c>
      <c r="I33" s="167"/>
      <c r="J33" s="167"/>
      <c r="K33" s="167"/>
      <c r="L33" s="168">
        <f t="shared" si="3"/>
        <v>4712215.1900000004</v>
      </c>
    </row>
    <row r="34" spans="1:12" ht="42.75" x14ac:dyDescent="0.25">
      <c r="A34" s="164">
        <v>9</v>
      </c>
      <c r="B34" s="165">
        <v>1171</v>
      </c>
      <c r="C34" s="166" t="s">
        <v>176</v>
      </c>
      <c r="D34" s="166" t="s">
        <v>182</v>
      </c>
      <c r="E34" s="165" t="s">
        <v>171</v>
      </c>
      <c r="F34" s="166" t="s">
        <v>172</v>
      </c>
      <c r="G34" s="166" t="s">
        <v>173</v>
      </c>
      <c r="H34" s="167">
        <v>3601987.91</v>
      </c>
      <c r="I34" s="167"/>
      <c r="J34" s="167"/>
      <c r="K34" s="167"/>
      <c r="L34" s="168">
        <f t="shared" si="3"/>
        <v>3601987.91</v>
      </c>
    </row>
    <row r="35" spans="1:12" ht="42.75" x14ac:dyDescent="0.25">
      <c r="A35" s="164">
        <v>10</v>
      </c>
      <c r="B35" s="165">
        <v>1172</v>
      </c>
      <c r="C35" s="166" t="s">
        <v>176</v>
      </c>
      <c r="D35" s="166" t="s">
        <v>183</v>
      </c>
      <c r="E35" s="165" t="s">
        <v>171</v>
      </c>
      <c r="F35" s="166" t="s">
        <v>172</v>
      </c>
      <c r="G35" s="166" t="s">
        <v>173</v>
      </c>
      <c r="H35" s="167">
        <v>3562435.9332258059</v>
      </c>
      <c r="I35" s="167">
        <v>12214066.056774201</v>
      </c>
      <c r="J35" s="167"/>
      <c r="K35" s="167"/>
      <c r="L35" s="168">
        <f t="shared" si="3"/>
        <v>15776501.990000006</v>
      </c>
    </row>
    <row r="36" spans="1:12" ht="28.5" x14ac:dyDescent="0.25">
      <c r="A36" s="159">
        <v>11</v>
      </c>
      <c r="B36" s="165">
        <v>1173</v>
      </c>
      <c r="C36" s="166" t="s">
        <v>176</v>
      </c>
      <c r="D36" s="166" t="s">
        <v>184</v>
      </c>
      <c r="E36" s="165" t="s">
        <v>171</v>
      </c>
      <c r="F36" s="166" t="s">
        <v>172</v>
      </c>
      <c r="G36" s="166" t="s">
        <v>173</v>
      </c>
      <c r="H36" s="167">
        <v>11408329.41756757</v>
      </c>
      <c r="I36" s="167">
        <v>66168310.621891893</v>
      </c>
      <c r="J36" s="167">
        <v>6844997.65054054</v>
      </c>
      <c r="K36" s="167"/>
      <c r="L36" s="168">
        <f t="shared" si="3"/>
        <v>84421637.690000013</v>
      </c>
    </row>
    <row r="37" spans="1:12" ht="42.75" x14ac:dyDescent="0.25">
      <c r="A37" s="164">
        <v>12</v>
      </c>
      <c r="B37" s="165">
        <v>1174</v>
      </c>
      <c r="C37" s="166" t="s">
        <v>176</v>
      </c>
      <c r="D37" s="166" t="s">
        <v>185</v>
      </c>
      <c r="E37" s="165" t="s">
        <v>171</v>
      </c>
      <c r="F37" s="166" t="s">
        <v>172</v>
      </c>
      <c r="G37" s="166" t="s">
        <v>173</v>
      </c>
      <c r="H37" s="167">
        <v>3938231.5379166659</v>
      </c>
      <c r="I37" s="167">
        <v>9564276.5920833349</v>
      </c>
      <c r="J37" s="167"/>
      <c r="K37" s="167"/>
      <c r="L37" s="168">
        <f t="shared" si="3"/>
        <v>13502508.130000001</v>
      </c>
    </row>
    <row r="38" spans="1:12" ht="28.5" x14ac:dyDescent="0.25">
      <c r="A38" s="164">
        <v>13</v>
      </c>
      <c r="B38" s="165">
        <v>1175</v>
      </c>
      <c r="C38" s="166" t="s">
        <v>176</v>
      </c>
      <c r="D38" s="166" t="s">
        <v>186</v>
      </c>
      <c r="E38" s="165" t="s">
        <v>171</v>
      </c>
      <c r="F38" s="166" t="s">
        <v>172</v>
      </c>
      <c r="G38" s="166" t="s">
        <v>173</v>
      </c>
      <c r="H38" s="167"/>
      <c r="I38" s="167">
        <v>10664993.045416661</v>
      </c>
      <c r="J38" s="167">
        <v>28713442.814583339</v>
      </c>
      <c r="K38" s="167"/>
      <c r="L38" s="168">
        <f t="shared" si="3"/>
        <v>39378435.859999999</v>
      </c>
    </row>
    <row r="39" spans="1:12" ht="28.5" x14ac:dyDescent="0.25">
      <c r="A39" s="164">
        <v>14</v>
      </c>
      <c r="B39" s="165">
        <v>1299</v>
      </c>
      <c r="C39" s="166" t="s">
        <v>176</v>
      </c>
      <c r="D39" s="166" t="s">
        <v>187</v>
      </c>
      <c r="E39" s="165" t="s">
        <v>171</v>
      </c>
      <c r="F39" s="166" t="s">
        <v>172</v>
      </c>
      <c r="G39" s="166" t="s">
        <v>173</v>
      </c>
      <c r="H39" s="167">
        <v>4800000</v>
      </c>
      <c r="I39" s="167"/>
      <c r="J39" s="167"/>
      <c r="K39" s="167"/>
      <c r="L39" s="168">
        <f t="shared" si="3"/>
        <v>4800000</v>
      </c>
    </row>
    <row r="40" spans="1:12" ht="28.5" x14ac:dyDescent="0.25">
      <c r="A40" s="164">
        <v>15</v>
      </c>
      <c r="B40" s="165">
        <v>10</v>
      </c>
      <c r="C40" s="166" t="s">
        <v>176</v>
      </c>
      <c r="D40" s="166" t="s">
        <v>188</v>
      </c>
      <c r="E40" s="165" t="s">
        <v>189</v>
      </c>
      <c r="F40" s="166" t="s">
        <v>172</v>
      </c>
      <c r="G40" s="166" t="s">
        <v>173</v>
      </c>
      <c r="H40" s="167">
        <v>2538912.88</v>
      </c>
      <c r="I40" s="167">
        <v>22850215.940000001</v>
      </c>
      <c r="J40" s="167">
        <v>2538912.88</v>
      </c>
      <c r="K40" s="167"/>
      <c r="L40" s="168">
        <f t="shared" si="3"/>
        <v>27928041.699999999</v>
      </c>
    </row>
    <row r="41" spans="1:12" ht="28.5" x14ac:dyDescent="0.25">
      <c r="A41" s="159">
        <v>16</v>
      </c>
      <c r="B41" s="165">
        <v>12</v>
      </c>
      <c r="C41" s="166" t="s">
        <v>176</v>
      </c>
      <c r="D41" s="166" t="s">
        <v>190</v>
      </c>
      <c r="E41" s="165" t="s">
        <v>189</v>
      </c>
      <c r="F41" s="166" t="s">
        <v>172</v>
      </c>
      <c r="G41" s="166" t="s">
        <v>191</v>
      </c>
      <c r="H41" s="167">
        <v>3508120.17</v>
      </c>
      <c r="I41" s="167"/>
      <c r="J41" s="167"/>
      <c r="K41" s="167"/>
      <c r="L41" s="168">
        <f t="shared" si="3"/>
        <v>3508120.17</v>
      </c>
    </row>
    <row r="42" spans="1:12" ht="85.5" x14ac:dyDescent="0.25">
      <c r="A42" s="164">
        <v>17</v>
      </c>
      <c r="B42" s="165">
        <v>14</v>
      </c>
      <c r="C42" s="166" t="s">
        <v>176</v>
      </c>
      <c r="D42" s="166" t="s">
        <v>192</v>
      </c>
      <c r="E42" s="165" t="s">
        <v>189</v>
      </c>
      <c r="F42" s="166" t="s">
        <v>172</v>
      </c>
      <c r="G42" s="166" t="s">
        <v>173</v>
      </c>
      <c r="H42" s="167">
        <v>2695506.2233333341</v>
      </c>
      <c r="I42" s="167">
        <v>19407644.80800001</v>
      </c>
      <c r="J42" s="167">
        <v>2156404.9786666669</v>
      </c>
      <c r="K42" s="167"/>
      <c r="L42" s="168">
        <f t="shared" si="3"/>
        <v>24259556.010000009</v>
      </c>
    </row>
    <row r="43" spans="1:12" ht="28.5" x14ac:dyDescent="0.25">
      <c r="A43" s="164">
        <v>18</v>
      </c>
      <c r="B43" s="165">
        <v>962</v>
      </c>
      <c r="C43" s="166" t="s">
        <v>176</v>
      </c>
      <c r="D43" s="166" t="s">
        <v>193</v>
      </c>
      <c r="E43" s="165" t="s">
        <v>189</v>
      </c>
      <c r="F43" s="166" t="s">
        <v>172</v>
      </c>
      <c r="G43" s="166" t="s">
        <v>173</v>
      </c>
      <c r="H43" s="167"/>
      <c r="I43" s="167">
        <v>408997.66999999993</v>
      </c>
      <c r="J43" s="167"/>
      <c r="K43" s="167"/>
      <c r="L43" s="168">
        <f t="shared" si="3"/>
        <v>408997.66999999993</v>
      </c>
    </row>
    <row r="44" spans="1:12" ht="71.25" x14ac:dyDescent="0.25">
      <c r="A44" s="164">
        <v>19</v>
      </c>
      <c r="B44" s="165">
        <v>531</v>
      </c>
      <c r="C44" s="166" t="s">
        <v>194</v>
      </c>
      <c r="D44" s="166" t="s">
        <v>195</v>
      </c>
      <c r="E44" s="165" t="s">
        <v>189</v>
      </c>
      <c r="F44" s="166" t="s">
        <v>172</v>
      </c>
      <c r="G44" s="166" t="s">
        <v>173</v>
      </c>
      <c r="H44" s="167">
        <v>2563456.04</v>
      </c>
      <c r="I44" s="167"/>
      <c r="J44" s="167"/>
      <c r="K44" s="167"/>
      <c r="L44" s="168">
        <f t="shared" si="3"/>
        <v>2563456.04</v>
      </c>
    </row>
    <row r="45" spans="1:12" ht="42.75" x14ac:dyDescent="0.25">
      <c r="A45" s="164">
        <v>20</v>
      </c>
      <c r="B45" s="165">
        <v>639</v>
      </c>
      <c r="C45" s="166" t="s">
        <v>194</v>
      </c>
      <c r="D45" s="166" t="s">
        <v>196</v>
      </c>
      <c r="E45" s="165" t="s">
        <v>189</v>
      </c>
      <c r="F45" s="166" t="s">
        <v>178</v>
      </c>
      <c r="G45" s="166" t="s">
        <v>197</v>
      </c>
      <c r="H45" s="167">
        <v>240000</v>
      </c>
      <c r="I45" s="167"/>
      <c r="J45" s="167"/>
      <c r="K45" s="167"/>
      <c r="L45" s="168">
        <f t="shared" si="3"/>
        <v>240000</v>
      </c>
    </row>
    <row r="46" spans="1:12" ht="42.75" x14ac:dyDescent="0.25">
      <c r="A46" s="159">
        <v>21</v>
      </c>
      <c r="B46" s="165">
        <v>639</v>
      </c>
      <c r="C46" s="166" t="s">
        <v>194</v>
      </c>
      <c r="D46" s="166" t="s">
        <v>196</v>
      </c>
      <c r="E46" s="165" t="s">
        <v>189</v>
      </c>
      <c r="F46" s="166" t="s">
        <v>172</v>
      </c>
      <c r="G46" s="166" t="s">
        <v>173</v>
      </c>
      <c r="H46" s="167"/>
      <c r="I46" s="167"/>
      <c r="J46" s="167">
        <v>6470588.2352941167</v>
      </c>
      <c r="K46" s="167">
        <v>3529411.7647058829</v>
      </c>
      <c r="L46" s="168">
        <f t="shared" si="3"/>
        <v>10000000</v>
      </c>
    </row>
    <row r="47" spans="1:12" ht="42.75" x14ac:dyDescent="0.25">
      <c r="A47" s="164">
        <v>22</v>
      </c>
      <c r="B47" s="165">
        <v>1371</v>
      </c>
      <c r="C47" s="166" t="s">
        <v>194</v>
      </c>
      <c r="D47" s="166" t="s">
        <v>198</v>
      </c>
      <c r="E47" s="165" t="s">
        <v>189</v>
      </c>
      <c r="F47" s="166" t="s">
        <v>178</v>
      </c>
      <c r="G47" s="166" t="s">
        <v>197</v>
      </c>
      <c r="H47" s="167">
        <v>345468.57</v>
      </c>
      <c r="I47" s="167"/>
      <c r="J47" s="167"/>
      <c r="K47" s="167"/>
      <c r="L47" s="168">
        <f t="shared" si="3"/>
        <v>345468.57</v>
      </c>
    </row>
    <row r="48" spans="1:12" ht="171" x14ac:dyDescent="0.25">
      <c r="A48" s="164">
        <v>23</v>
      </c>
      <c r="B48" s="165">
        <v>16</v>
      </c>
      <c r="C48" s="166" t="s">
        <v>199</v>
      </c>
      <c r="D48" s="166" t="s">
        <v>200</v>
      </c>
      <c r="E48" s="165" t="s">
        <v>171</v>
      </c>
      <c r="F48" s="166" t="s">
        <v>172</v>
      </c>
      <c r="G48" s="166" t="s">
        <v>201</v>
      </c>
      <c r="H48" s="167">
        <v>14356201.25625</v>
      </c>
      <c r="I48" s="167">
        <v>5742480.5025000004</v>
      </c>
      <c r="J48" s="167"/>
      <c r="K48" s="167"/>
      <c r="L48" s="168">
        <f t="shared" si="3"/>
        <v>20098681.758749999</v>
      </c>
    </row>
    <row r="49" spans="1:12" ht="57" x14ac:dyDescent="0.25">
      <c r="A49" s="164">
        <v>24</v>
      </c>
      <c r="B49" s="165">
        <v>17</v>
      </c>
      <c r="C49" s="166" t="s">
        <v>199</v>
      </c>
      <c r="D49" s="166" t="s">
        <v>202</v>
      </c>
      <c r="E49" s="165" t="s">
        <v>171</v>
      </c>
      <c r="F49" s="166" t="s">
        <v>172</v>
      </c>
      <c r="G49" s="166" t="s">
        <v>203</v>
      </c>
      <c r="H49" s="167">
        <v>1379534.1854999999</v>
      </c>
      <c r="I49" s="167"/>
      <c r="J49" s="167"/>
      <c r="K49" s="167"/>
      <c r="L49" s="168">
        <f t="shared" si="3"/>
        <v>1379534.1854999999</v>
      </c>
    </row>
    <row r="50" spans="1:12" ht="71.25" x14ac:dyDescent="0.25">
      <c r="A50" s="164">
        <v>25</v>
      </c>
      <c r="B50" s="165">
        <v>18</v>
      </c>
      <c r="C50" s="166" t="s">
        <v>199</v>
      </c>
      <c r="D50" s="166" t="s">
        <v>204</v>
      </c>
      <c r="E50" s="165" t="s">
        <v>171</v>
      </c>
      <c r="F50" s="166" t="s">
        <v>172</v>
      </c>
      <c r="G50" s="166" t="s">
        <v>205</v>
      </c>
      <c r="H50" s="167">
        <v>3312576.1710000001</v>
      </c>
      <c r="I50" s="167"/>
      <c r="J50" s="167"/>
      <c r="K50" s="167"/>
      <c r="L50" s="168">
        <f t="shared" si="3"/>
        <v>3312576.1710000001</v>
      </c>
    </row>
    <row r="51" spans="1:12" ht="142.5" x14ac:dyDescent="0.25">
      <c r="A51" s="159">
        <v>26</v>
      </c>
      <c r="B51" s="165">
        <v>19</v>
      </c>
      <c r="C51" s="166" t="s">
        <v>199</v>
      </c>
      <c r="D51" s="166" t="s">
        <v>206</v>
      </c>
      <c r="E51" s="165" t="s">
        <v>171</v>
      </c>
      <c r="F51" s="166" t="s">
        <v>172</v>
      </c>
      <c r="G51" s="166" t="s">
        <v>173</v>
      </c>
      <c r="H51" s="167">
        <v>14244971.48003602</v>
      </c>
      <c r="I51" s="167">
        <v>755028.51996397483</v>
      </c>
      <c r="J51" s="167"/>
      <c r="K51" s="167"/>
      <c r="L51" s="168">
        <f t="shared" si="3"/>
        <v>14999999.999999994</v>
      </c>
    </row>
    <row r="52" spans="1:12" ht="42.75" x14ac:dyDescent="0.25">
      <c r="A52" s="164">
        <v>27</v>
      </c>
      <c r="B52" s="165">
        <v>1300</v>
      </c>
      <c r="C52" s="166" t="s">
        <v>199</v>
      </c>
      <c r="D52" s="166" t="s">
        <v>207</v>
      </c>
      <c r="E52" s="165" t="s">
        <v>171</v>
      </c>
      <c r="F52" s="166" t="s">
        <v>172</v>
      </c>
      <c r="G52" s="166" t="s">
        <v>173</v>
      </c>
      <c r="H52" s="167">
        <v>56117.36</v>
      </c>
      <c r="I52" s="167"/>
      <c r="J52" s="167"/>
      <c r="K52" s="167"/>
      <c r="L52" s="168">
        <f t="shared" si="3"/>
        <v>56117.36</v>
      </c>
    </row>
    <row r="53" spans="1:12" ht="99.75" x14ac:dyDescent="0.25">
      <c r="A53" s="164">
        <v>28</v>
      </c>
      <c r="B53" s="165">
        <v>1339</v>
      </c>
      <c r="C53" s="166" t="s">
        <v>199</v>
      </c>
      <c r="D53" s="166" t="s">
        <v>208</v>
      </c>
      <c r="E53" s="165" t="s">
        <v>171</v>
      </c>
      <c r="F53" s="166" t="s">
        <v>172</v>
      </c>
      <c r="G53" s="166" t="s">
        <v>173</v>
      </c>
      <c r="H53" s="167"/>
      <c r="I53" s="167">
        <v>132432.4324324324</v>
      </c>
      <c r="J53" s="167">
        <v>378378.37837837852</v>
      </c>
      <c r="K53" s="167">
        <v>189189.18918918911</v>
      </c>
      <c r="L53" s="168">
        <f t="shared" si="3"/>
        <v>700000</v>
      </c>
    </row>
    <row r="54" spans="1:12" ht="57" x14ac:dyDescent="0.25">
      <c r="A54" s="164">
        <v>29</v>
      </c>
      <c r="B54" s="165">
        <v>1340</v>
      </c>
      <c r="C54" s="166" t="s">
        <v>199</v>
      </c>
      <c r="D54" s="166" t="s">
        <v>209</v>
      </c>
      <c r="E54" s="165" t="s">
        <v>171</v>
      </c>
      <c r="F54" s="166" t="s">
        <v>172</v>
      </c>
      <c r="G54" s="166" t="s">
        <v>173</v>
      </c>
      <c r="H54" s="167"/>
      <c r="I54" s="167">
        <v>1764705.882352941</v>
      </c>
      <c r="J54" s="167">
        <v>10588235.29411765</v>
      </c>
      <c r="K54" s="167">
        <v>2647058.823529412</v>
      </c>
      <c r="L54" s="168">
        <f t="shared" si="3"/>
        <v>15000000.000000004</v>
      </c>
    </row>
    <row r="55" spans="1:12" ht="57" x14ac:dyDescent="0.25">
      <c r="A55" s="164">
        <v>30</v>
      </c>
      <c r="B55" s="165">
        <v>543</v>
      </c>
      <c r="C55" s="166" t="s">
        <v>210</v>
      </c>
      <c r="D55" s="166" t="s">
        <v>211</v>
      </c>
      <c r="E55" s="165" t="s">
        <v>171</v>
      </c>
      <c r="F55" s="166" t="s">
        <v>172</v>
      </c>
      <c r="G55" s="166" t="s">
        <v>173</v>
      </c>
      <c r="H55" s="167">
        <v>75000</v>
      </c>
      <c r="I55" s="167"/>
      <c r="J55" s="167"/>
      <c r="K55" s="167"/>
      <c r="L55" s="168">
        <f t="shared" si="3"/>
        <v>75000</v>
      </c>
    </row>
    <row r="56" spans="1:12" ht="28.5" x14ac:dyDescent="0.25">
      <c r="A56" s="159">
        <v>31</v>
      </c>
      <c r="B56" s="165">
        <v>544</v>
      </c>
      <c r="C56" s="166" t="s">
        <v>210</v>
      </c>
      <c r="D56" s="166" t="s">
        <v>212</v>
      </c>
      <c r="E56" s="165" t="s">
        <v>171</v>
      </c>
      <c r="F56" s="166" t="s">
        <v>172</v>
      </c>
      <c r="G56" s="166" t="s">
        <v>173</v>
      </c>
      <c r="H56" s="167">
        <v>99999.999999999971</v>
      </c>
      <c r="I56" s="167"/>
      <c r="J56" s="167"/>
      <c r="K56" s="167"/>
      <c r="L56" s="168">
        <f t="shared" si="3"/>
        <v>99999.999999999971</v>
      </c>
    </row>
    <row r="57" spans="1:12" ht="28.5" x14ac:dyDescent="0.25">
      <c r="A57" s="164">
        <v>32</v>
      </c>
      <c r="B57" s="165">
        <v>23</v>
      </c>
      <c r="C57" s="166" t="s">
        <v>213</v>
      </c>
      <c r="D57" s="166" t="s">
        <v>214</v>
      </c>
      <c r="E57" s="165" t="s">
        <v>171</v>
      </c>
      <c r="F57" s="166" t="s">
        <v>172</v>
      </c>
      <c r="G57" s="166" t="s">
        <v>173</v>
      </c>
      <c r="H57" s="167">
        <v>1016400</v>
      </c>
      <c r="I57" s="167">
        <v>1524600</v>
      </c>
      <c r="J57" s="167"/>
      <c r="K57" s="167"/>
      <c r="L57" s="168">
        <f t="shared" si="3"/>
        <v>2541000</v>
      </c>
    </row>
    <row r="58" spans="1:12" ht="71.25" x14ac:dyDescent="0.25">
      <c r="A58" s="164">
        <v>33</v>
      </c>
      <c r="B58" s="165">
        <v>963</v>
      </c>
      <c r="C58" s="166" t="s">
        <v>213</v>
      </c>
      <c r="D58" s="166" t="s">
        <v>215</v>
      </c>
      <c r="E58" s="165" t="s">
        <v>171</v>
      </c>
      <c r="F58" s="166" t="s">
        <v>172</v>
      </c>
      <c r="G58" s="166" t="s">
        <v>173</v>
      </c>
      <c r="H58" s="169"/>
      <c r="I58" s="167">
        <v>7625464.2538461518</v>
      </c>
      <c r="J58" s="170">
        <v>2287639.2761538001</v>
      </c>
      <c r="K58" s="167"/>
      <c r="L58" s="168">
        <f t="shared" si="3"/>
        <v>9913103.5299999528</v>
      </c>
    </row>
    <row r="59" spans="1:12" ht="28.5" x14ac:dyDescent="0.25">
      <c r="A59" s="164">
        <v>34</v>
      </c>
      <c r="B59" s="165">
        <v>24</v>
      </c>
      <c r="C59" s="166" t="s">
        <v>213</v>
      </c>
      <c r="D59" s="166" t="s">
        <v>216</v>
      </c>
      <c r="E59" s="165" t="s">
        <v>189</v>
      </c>
      <c r="F59" s="166" t="s">
        <v>178</v>
      </c>
      <c r="G59" s="166" t="s">
        <v>217</v>
      </c>
      <c r="H59" s="167">
        <v>280000</v>
      </c>
      <c r="I59" s="167"/>
      <c r="J59" s="167"/>
      <c r="K59" s="167"/>
      <c r="L59" s="168">
        <f t="shared" si="3"/>
        <v>280000</v>
      </c>
    </row>
    <row r="60" spans="1:12" ht="28.5" x14ac:dyDescent="0.25">
      <c r="A60" s="164">
        <v>35</v>
      </c>
      <c r="B60" s="165">
        <v>24</v>
      </c>
      <c r="C60" s="166" t="s">
        <v>213</v>
      </c>
      <c r="D60" s="166" t="s">
        <v>216</v>
      </c>
      <c r="E60" s="165" t="s">
        <v>189</v>
      </c>
      <c r="F60" s="166" t="s">
        <v>172</v>
      </c>
      <c r="G60" s="166" t="s">
        <v>173</v>
      </c>
      <c r="H60" s="167"/>
      <c r="I60" s="167">
        <v>917500</v>
      </c>
      <c r="J60" s="167">
        <v>8257500</v>
      </c>
      <c r="K60" s="167"/>
      <c r="L60" s="168">
        <f t="shared" si="3"/>
        <v>9175000</v>
      </c>
    </row>
    <row r="61" spans="1:12" ht="114" x14ac:dyDescent="0.25">
      <c r="A61" s="159">
        <v>36</v>
      </c>
      <c r="B61" s="165">
        <v>27</v>
      </c>
      <c r="C61" s="166" t="s">
        <v>218</v>
      </c>
      <c r="D61" s="166" t="s">
        <v>219</v>
      </c>
      <c r="E61" s="165" t="s">
        <v>171</v>
      </c>
      <c r="F61" s="166" t="s">
        <v>172</v>
      </c>
      <c r="G61" s="166" t="s">
        <v>173</v>
      </c>
      <c r="H61" s="167">
        <v>814800.00000000023</v>
      </c>
      <c r="I61" s="167">
        <v>203700</v>
      </c>
      <c r="J61" s="167"/>
      <c r="K61" s="167"/>
      <c r="L61" s="168">
        <f t="shared" si="3"/>
        <v>1018500.0000000002</v>
      </c>
    </row>
    <row r="62" spans="1:12" ht="28.5" x14ac:dyDescent="0.25">
      <c r="A62" s="164">
        <v>37</v>
      </c>
      <c r="B62" s="165">
        <v>1207</v>
      </c>
      <c r="C62" s="166" t="s">
        <v>218</v>
      </c>
      <c r="D62" s="166" t="s">
        <v>220</v>
      </c>
      <c r="E62" s="165" t="s">
        <v>171</v>
      </c>
      <c r="F62" s="166" t="s">
        <v>178</v>
      </c>
      <c r="G62" s="166" t="s">
        <v>173</v>
      </c>
      <c r="H62" s="167"/>
      <c r="I62" s="167"/>
      <c r="J62" s="167"/>
      <c r="K62" s="167">
        <v>42105.26</v>
      </c>
      <c r="L62" s="168">
        <f t="shared" si="3"/>
        <v>42105.26</v>
      </c>
    </row>
    <row r="63" spans="1:12" ht="28.5" x14ac:dyDescent="0.25">
      <c r="A63" s="164">
        <v>38</v>
      </c>
      <c r="B63" s="165">
        <v>1235</v>
      </c>
      <c r="C63" s="166" t="s">
        <v>221</v>
      </c>
      <c r="D63" s="166" t="s">
        <v>220</v>
      </c>
      <c r="E63" s="165" t="s">
        <v>171</v>
      </c>
      <c r="F63" s="166" t="s">
        <v>178</v>
      </c>
      <c r="G63" s="166" t="s">
        <v>173</v>
      </c>
      <c r="H63" s="167"/>
      <c r="I63" s="167"/>
      <c r="J63" s="167"/>
      <c r="K63" s="167">
        <v>76631.570000000007</v>
      </c>
      <c r="L63" s="168">
        <f t="shared" si="3"/>
        <v>76631.570000000007</v>
      </c>
    </row>
    <row r="64" spans="1:12" ht="42.75" x14ac:dyDescent="0.25">
      <c r="A64" s="164">
        <v>39</v>
      </c>
      <c r="B64" s="165">
        <v>798</v>
      </c>
      <c r="C64" s="166" t="s">
        <v>222</v>
      </c>
      <c r="D64" s="166" t="s">
        <v>223</v>
      </c>
      <c r="E64" s="165" t="s">
        <v>189</v>
      </c>
      <c r="F64" s="166" t="s">
        <v>172</v>
      </c>
      <c r="G64" s="166" t="s">
        <v>173</v>
      </c>
      <c r="H64" s="170">
        <v>4564270</v>
      </c>
      <c r="I64" s="167">
        <v>2500000</v>
      </c>
      <c r="J64" s="167"/>
      <c r="K64" s="167"/>
      <c r="L64" s="168">
        <f t="shared" si="3"/>
        <v>7064270</v>
      </c>
    </row>
    <row r="65" spans="1:12" ht="42.75" x14ac:dyDescent="0.25">
      <c r="A65" s="164">
        <v>40</v>
      </c>
      <c r="B65" s="165">
        <v>623</v>
      </c>
      <c r="C65" s="166" t="s">
        <v>224</v>
      </c>
      <c r="D65" s="166" t="s">
        <v>225</v>
      </c>
      <c r="E65" s="165" t="s">
        <v>171</v>
      </c>
      <c r="F65" s="166" t="s">
        <v>178</v>
      </c>
      <c r="G65" s="166" t="s">
        <v>173</v>
      </c>
      <c r="H65" s="167">
        <v>40000</v>
      </c>
      <c r="I65" s="167"/>
      <c r="J65" s="167"/>
      <c r="K65" s="167"/>
      <c r="L65" s="168">
        <f t="shared" si="3"/>
        <v>40000</v>
      </c>
    </row>
    <row r="66" spans="1:12" ht="28.5" x14ac:dyDescent="0.25">
      <c r="A66" s="159">
        <v>41</v>
      </c>
      <c r="B66" s="165">
        <v>1213</v>
      </c>
      <c r="C66" s="166" t="s">
        <v>224</v>
      </c>
      <c r="D66" s="166" t="s">
        <v>220</v>
      </c>
      <c r="E66" s="165" t="s">
        <v>171</v>
      </c>
      <c r="F66" s="166" t="s">
        <v>178</v>
      </c>
      <c r="G66" s="166" t="s">
        <v>173</v>
      </c>
      <c r="H66" s="167"/>
      <c r="I66" s="167">
        <v>107368.42</v>
      </c>
      <c r="J66" s="167"/>
      <c r="K66" s="167"/>
      <c r="L66" s="168">
        <f t="shared" si="3"/>
        <v>107368.42</v>
      </c>
    </row>
    <row r="67" spans="1:12" ht="28.5" x14ac:dyDescent="0.25">
      <c r="A67" s="164">
        <v>42</v>
      </c>
      <c r="B67" s="165">
        <v>1213</v>
      </c>
      <c r="C67" s="166" t="s">
        <v>224</v>
      </c>
      <c r="D67" s="166" t="s">
        <v>220</v>
      </c>
      <c r="E67" s="165" t="s">
        <v>171</v>
      </c>
      <c r="F67" s="166" t="s">
        <v>172</v>
      </c>
      <c r="G67" s="166" t="s">
        <v>173</v>
      </c>
      <c r="H67" s="167"/>
      <c r="I67" s="167"/>
      <c r="J67" s="167">
        <v>226666.6666666666</v>
      </c>
      <c r="K67" s="167">
        <v>1813333.333333333</v>
      </c>
      <c r="L67" s="168">
        <f t="shared" si="3"/>
        <v>2039999.9999999995</v>
      </c>
    </row>
    <row r="68" spans="1:12" ht="28.5" x14ac:dyDescent="0.25">
      <c r="A68" s="164">
        <v>43</v>
      </c>
      <c r="B68" s="165">
        <v>39</v>
      </c>
      <c r="C68" s="166" t="s">
        <v>226</v>
      </c>
      <c r="D68" s="166" t="s">
        <v>227</v>
      </c>
      <c r="E68" s="165" t="s">
        <v>171</v>
      </c>
      <c r="F68" s="166" t="s">
        <v>178</v>
      </c>
      <c r="G68" s="166" t="s">
        <v>228</v>
      </c>
      <c r="H68" s="167">
        <v>26666.666666666672</v>
      </c>
      <c r="I68" s="167">
        <v>26666.666666666672</v>
      </c>
      <c r="J68" s="167">
        <v>20000</v>
      </c>
      <c r="K68" s="167"/>
      <c r="L68" s="168">
        <f t="shared" si="3"/>
        <v>73333.333333333343</v>
      </c>
    </row>
    <row r="69" spans="1:12" ht="71.25" x14ac:dyDescent="0.25">
      <c r="A69" s="164">
        <v>44</v>
      </c>
      <c r="B69" s="165">
        <v>207</v>
      </c>
      <c r="C69" s="166" t="s">
        <v>226</v>
      </c>
      <c r="D69" s="166" t="s">
        <v>229</v>
      </c>
      <c r="E69" s="165" t="s">
        <v>189</v>
      </c>
      <c r="F69" s="166" t="s">
        <v>172</v>
      </c>
      <c r="G69" s="166" t="s">
        <v>173</v>
      </c>
      <c r="H69" s="167">
        <v>361209.08</v>
      </c>
      <c r="I69" s="167">
        <v>1806045.4</v>
      </c>
      <c r="J69" s="167"/>
      <c r="K69" s="167"/>
      <c r="L69" s="168">
        <f t="shared" si="3"/>
        <v>2167254.48</v>
      </c>
    </row>
    <row r="70" spans="1:12" ht="42.75" x14ac:dyDescent="0.25">
      <c r="A70" s="164">
        <v>45</v>
      </c>
      <c r="B70" s="165">
        <v>1333</v>
      </c>
      <c r="C70" s="166" t="s">
        <v>230</v>
      </c>
      <c r="D70" s="166" t="s">
        <v>231</v>
      </c>
      <c r="E70" s="165" t="s">
        <v>171</v>
      </c>
      <c r="F70" s="166" t="s">
        <v>172</v>
      </c>
      <c r="G70" s="166" t="s">
        <v>173</v>
      </c>
      <c r="H70" s="167"/>
      <c r="I70" s="167">
        <v>4800000</v>
      </c>
      <c r="J70" s="167">
        <v>6720000</v>
      </c>
      <c r="K70" s="167">
        <v>480000</v>
      </c>
      <c r="L70" s="168">
        <f t="shared" si="3"/>
        <v>12000000</v>
      </c>
    </row>
    <row r="71" spans="1:12" ht="42.75" x14ac:dyDescent="0.25">
      <c r="A71" s="159">
        <v>46</v>
      </c>
      <c r="B71" s="165">
        <v>1334</v>
      </c>
      <c r="C71" s="166" t="s">
        <v>230</v>
      </c>
      <c r="D71" s="166" t="s">
        <v>232</v>
      </c>
      <c r="E71" s="165" t="s">
        <v>171</v>
      </c>
      <c r="F71" s="166" t="s">
        <v>172</v>
      </c>
      <c r="G71" s="166" t="s">
        <v>173</v>
      </c>
      <c r="H71" s="167"/>
      <c r="I71" s="167">
        <v>2025000</v>
      </c>
      <c r="J71" s="167">
        <v>8100000</v>
      </c>
      <c r="K71" s="167">
        <v>675000</v>
      </c>
      <c r="L71" s="168">
        <f t="shared" si="3"/>
        <v>10800000</v>
      </c>
    </row>
    <row r="72" spans="1:12" ht="57" x14ac:dyDescent="0.25">
      <c r="A72" s="164">
        <v>47</v>
      </c>
      <c r="B72" s="165">
        <v>844</v>
      </c>
      <c r="C72" s="166" t="s">
        <v>230</v>
      </c>
      <c r="D72" s="166" t="s">
        <v>233</v>
      </c>
      <c r="E72" s="165" t="s">
        <v>189</v>
      </c>
      <c r="F72" s="166" t="s">
        <v>172</v>
      </c>
      <c r="G72" s="166" t="s">
        <v>173</v>
      </c>
      <c r="H72" s="167">
        <v>79999.999999999985</v>
      </c>
      <c r="I72" s="167"/>
      <c r="J72" s="167"/>
      <c r="K72" s="167"/>
      <c r="L72" s="168">
        <f t="shared" si="3"/>
        <v>79999.999999999985</v>
      </c>
    </row>
    <row r="73" spans="1:12" ht="28.5" x14ac:dyDescent="0.25">
      <c r="A73" s="164">
        <v>48</v>
      </c>
      <c r="B73" s="165">
        <v>1065</v>
      </c>
      <c r="C73" s="166" t="s">
        <v>230</v>
      </c>
      <c r="D73" s="166" t="s">
        <v>220</v>
      </c>
      <c r="E73" s="165" t="s">
        <v>189</v>
      </c>
      <c r="F73" s="166" t="s">
        <v>178</v>
      </c>
      <c r="G73" s="166" t="s">
        <v>173</v>
      </c>
      <c r="H73" s="167"/>
      <c r="I73" s="167">
        <v>1473315.78</v>
      </c>
      <c r="J73" s="167"/>
      <c r="K73" s="167"/>
      <c r="L73" s="168">
        <f t="shared" si="3"/>
        <v>1473315.78</v>
      </c>
    </row>
    <row r="74" spans="1:12" ht="28.5" x14ac:dyDescent="0.25">
      <c r="A74" s="164">
        <v>49</v>
      </c>
      <c r="B74" s="165">
        <v>1065</v>
      </c>
      <c r="C74" s="166" t="s">
        <v>230</v>
      </c>
      <c r="D74" s="166" t="s">
        <v>220</v>
      </c>
      <c r="E74" s="165" t="s">
        <v>189</v>
      </c>
      <c r="F74" s="166" t="s">
        <v>172</v>
      </c>
      <c r="G74" s="166" t="s">
        <v>173</v>
      </c>
      <c r="H74" s="167"/>
      <c r="I74" s="167"/>
      <c r="J74" s="167">
        <v>3732400</v>
      </c>
      <c r="K74" s="167">
        <v>16795800</v>
      </c>
      <c r="L74" s="168">
        <f t="shared" si="3"/>
        <v>20528200</v>
      </c>
    </row>
    <row r="75" spans="1:12" ht="42.75" x14ac:dyDescent="0.25">
      <c r="A75" s="164">
        <v>50</v>
      </c>
      <c r="B75" s="165">
        <v>44</v>
      </c>
      <c r="C75" s="166" t="s">
        <v>234</v>
      </c>
      <c r="D75" s="166" t="s">
        <v>235</v>
      </c>
      <c r="E75" s="165" t="s">
        <v>171</v>
      </c>
      <c r="F75" s="166" t="s">
        <v>172</v>
      </c>
      <c r="G75" s="166" t="s">
        <v>173</v>
      </c>
      <c r="H75" s="167"/>
      <c r="I75" s="167">
        <v>7917000</v>
      </c>
      <c r="J75" s="167">
        <v>11083800</v>
      </c>
      <c r="K75" s="167">
        <v>791700</v>
      </c>
      <c r="L75" s="168">
        <f t="shared" si="3"/>
        <v>19792500</v>
      </c>
    </row>
    <row r="76" spans="1:12" ht="42.75" x14ac:dyDescent="0.25">
      <c r="A76" s="159">
        <v>51</v>
      </c>
      <c r="B76" s="165">
        <v>45</v>
      </c>
      <c r="C76" s="166" t="s">
        <v>234</v>
      </c>
      <c r="D76" s="166" t="s">
        <v>236</v>
      </c>
      <c r="E76" s="165" t="s">
        <v>171</v>
      </c>
      <c r="F76" s="166" t="s">
        <v>178</v>
      </c>
      <c r="G76" s="166" t="s">
        <v>237</v>
      </c>
      <c r="H76" s="167">
        <v>400000</v>
      </c>
      <c r="I76" s="167"/>
      <c r="J76" s="167"/>
      <c r="K76" s="167"/>
      <c r="L76" s="168">
        <f t="shared" si="3"/>
        <v>400000</v>
      </c>
    </row>
    <row r="77" spans="1:12" ht="42.75" x14ac:dyDescent="0.25">
      <c r="A77" s="164">
        <v>52</v>
      </c>
      <c r="B77" s="165">
        <v>45</v>
      </c>
      <c r="C77" s="166" t="s">
        <v>234</v>
      </c>
      <c r="D77" s="166" t="s">
        <v>236</v>
      </c>
      <c r="E77" s="165" t="s">
        <v>171</v>
      </c>
      <c r="F77" s="166" t="s">
        <v>172</v>
      </c>
      <c r="G77" s="166" t="s">
        <v>173</v>
      </c>
      <c r="H77" s="167"/>
      <c r="I77" s="167">
        <v>7530470.1928571425</v>
      </c>
      <c r="J77" s="167">
        <v>3012188.077142857</v>
      </c>
      <c r="K77" s="167"/>
      <c r="L77" s="168">
        <f t="shared" si="3"/>
        <v>10542658.27</v>
      </c>
    </row>
    <row r="78" spans="1:12" ht="57" x14ac:dyDescent="0.25">
      <c r="A78" s="164">
        <v>53</v>
      </c>
      <c r="B78" s="165">
        <v>46</v>
      </c>
      <c r="C78" s="166" t="s">
        <v>234</v>
      </c>
      <c r="D78" s="166" t="s">
        <v>238</v>
      </c>
      <c r="E78" s="165" t="s">
        <v>171</v>
      </c>
      <c r="F78" s="166" t="s">
        <v>172</v>
      </c>
      <c r="G78" s="166" t="s">
        <v>173</v>
      </c>
      <c r="H78" s="167">
        <v>499999.99999999983</v>
      </c>
      <c r="I78" s="167"/>
      <c r="J78" s="167"/>
      <c r="K78" s="167"/>
      <c r="L78" s="168">
        <f t="shared" si="3"/>
        <v>499999.99999999983</v>
      </c>
    </row>
    <row r="79" spans="1:12" ht="42.75" x14ac:dyDescent="0.25">
      <c r="A79" s="164">
        <v>54</v>
      </c>
      <c r="B79" s="165">
        <v>557</v>
      </c>
      <c r="C79" s="166" t="s">
        <v>234</v>
      </c>
      <c r="D79" s="166" t="s">
        <v>239</v>
      </c>
      <c r="E79" s="165" t="s">
        <v>171</v>
      </c>
      <c r="F79" s="166" t="s">
        <v>178</v>
      </c>
      <c r="G79" s="166" t="s">
        <v>240</v>
      </c>
      <c r="H79" s="167"/>
      <c r="I79" s="167">
        <v>471487.18</v>
      </c>
      <c r="J79" s="167"/>
      <c r="K79" s="167"/>
      <c r="L79" s="168">
        <f t="shared" si="3"/>
        <v>471487.18</v>
      </c>
    </row>
    <row r="80" spans="1:12" ht="57" x14ac:dyDescent="0.25">
      <c r="A80" s="164">
        <v>55</v>
      </c>
      <c r="B80" s="165">
        <v>47</v>
      </c>
      <c r="C80" s="166" t="s">
        <v>234</v>
      </c>
      <c r="D80" s="166" t="s">
        <v>241</v>
      </c>
      <c r="E80" s="165" t="s">
        <v>189</v>
      </c>
      <c r="F80" s="166" t="s">
        <v>172</v>
      </c>
      <c r="G80" s="166" t="s">
        <v>173</v>
      </c>
      <c r="H80" s="167">
        <v>1963688.11</v>
      </c>
      <c r="I80" s="167"/>
      <c r="J80" s="167"/>
      <c r="K80" s="167"/>
      <c r="L80" s="168">
        <f t="shared" si="3"/>
        <v>1963688.11</v>
      </c>
    </row>
    <row r="81" spans="1:12" ht="42.75" x14ac:dyDescent="0.25">
      <c r="A81" s="159">
        <v>56</v>
      </c>
      <c r="B81" s="165">
        <v>554</v>
      </c>
      <c r="C81" s="166" t="s">
        <v>234</v>
      </c>
      <c r="D81" s="166" t="s">
        <v>242</v>
      </c>
      <c r="E81" s="165" t="s">
        <v>189</v>
      </c>
      <c r="F81" s="166" t="s">
        <v>172</v>
      </c>
      <c r="G81" s="166" t="s">
        <v>173</v>
      </c>
      <c r="H81" s="167">
        <v>7208051.2592319241</v>
      </c>
      <c r="I81" s="167">
        <v>5586783.5607680771</v>
      </c>
      <c r="J81" s="167"/>
      <c r="K81" s="167"/>
      <c r="L81" s="168">
        <f t="shared" si="3"/>
        <v>12794834.82</v>
      </c>
    </row>
    <row r="82" spans="1:12" ht="57" x14ac:dyDescent="0.25">
      <c r="A82" s="164">
        <v>57</v>
      </c>
      <c r="B82" s="165">
        <v>1343</v>
      </c>
      <c r="C82" s="166" t="s">
        <v>234</v>
      </c>
      <c r="D82" s="166" t="s">
        <v>243</v>
      </c>
      <c r="E82" s="165" t="s">
        <v>189</v>
      </c>
      <c r="F82" s="166" t="s">
        <v>172</v>
      </c>
      <c r="G82" s="166" t="s">
        <v>173</v>
      </c>
      <c r="H82" s="167">
        <v>97573.333333333328</v>
      </c>
      <c r="I82" s="167"/>
      <c r="J82" s="167"/>
      <c r="K82" s="167"/>
      <c r="L82" s="168">
        <f t="shared" si="3"/>
        <v>97573.333333333328</v>
      </c>
    </row>
    <row r="83" spans="1:12" ht="57" x14ac:dyDescent="0.25">
      <c r="A83" s="164">
        <v>58</v>
      </c>
      <c r="B83" s="165">
        <v>606</v>
      </c>
      <c r="C83" s="166" t="s">
        <v>244</v>
      </c>
      <c r="D83" s="166" t="s">
        <v>245</v>
      </c>
      <c r="E83" s="165" t="s">
        <v>171</v>
      </c>
      <c r="F83" s="166" t="s">
        <v>178</v>
      </c>
      <c r="G83" s="166" t="s">
        <v>173</v>
      </c>
      <c r="H83" s="167">
        <v>50000</v>
      </c>
      <c r="I83" s="167"/>
      <c r="J83" s="167"/>
      <c r="K83" s="167"/>
      <c r="L83" s="168">
        <f t="shared" si="3"/>
        <v>50000</v>
      </c>
    </row>
    <row r="84" spans="1:12" ht="57" x14ac:dyDescent="0.25">
      <c r="A84" s="164">
        <v>59</v>
      </c>
      <c r="B84" s="165">
        <v>606</v>
      </c>
      <c r="C84" s="166" t="s">
        <v>244</v>
      </c>
      <c r="D84" s="166" t="s">
        <v>245</v>
      </c>
      <c r="E84" s="165" t="s">
        <v>171</v>
      </c>
      <c r="F84" s="166" t="s">
        <v>172</v>
      </c>
      <c r="G84" s="166" t="s">
        <v>173</v>
      </c>
      <c r="H84" s="167"/>
      <c r="I84" s="167">
        <v>150000</v>
      </c>
      <c r="J84" s="167"/>
      <c r="K84" s="167"/>
      <c r="L84" s="168">
        <f t="shared" si="3"/>
        <v>150000</v>
      </c>
    </row>
    <row r="85" spans="1:12" ht="28.5" x14ac:dyDescent="0.25">
      <c r="A85" s="164">
        <v>60</v>
      </c>
      <c r="B85" s="165">
        <v>547</v>
      </c>
      <c r="C85" s="166" t="s">
        <v>246</v>
      </c>
      <c r="D85" s="166" t="s">
        <v>247</v>
      </c>
      <c r="E85" s="165" t="s">
        <v>171</v>
      </c>
      <c r="F85" s="166" t="s">
        <v>172</v>
      </c>
      <c r="G85" s="166" t="s">
        <v>173</v>
      </c>
      <c r="H85" s="167">
        <v>99999.999999999971</v>
      </c>
      <c r="I85" s="167"/>
      <c r="J85" s="167"/>
      <c r="K85" s="167"/>
      <c r="L85" s="168">
        <f t="shared" si="3"/>
        <v>99999.999999999971</v>
      </c>
    </row>
    <row r="86" spans="1:12" ht="71.25" x14ac:dyDescent="0.25">
      <c r="A86" s="159">
        <v>61</v>
      </c>
      <c r="B86" s="165">
        <v>548</v>
      </c>
      <c r="C86" s="166" t="s">
        <v>246</v>
      </c>
      <c r="D86" s="166" t="s">
        <v>248</v>
      </c>
      <c r="E86" s="165" t="s">
        <v>171</v>
      </c>
      <c r="F86" s="166" t="s">
        <v>172</v>
      </c>
      <c r="G86" s="166" t="s">
        <v>173</v>
      </c>
      <c r="H86" s="171"/>
      <c r="I86" s="167">
        <v>200000</v>
      </c>
      <c r="J86" s="167"/>
      <c r="K86" s="167"/>
      <c r="L86" s="168">
        <f t="shared" si="3"/>
        <v>200000</v>
      </c>
    </row>
    <row r="87" spans="1:12" ht="28.5" x14ac:dyDescent="0.25">
      <c r="A87" s="164">
        <v>62</v>
      </c>
      <c r="B87" s="165">
        <v>549</v>
      </c>
      <c r="C87" s="166" t="s">
        <v>246</v>
      </c>
      <c r="D87" s="166" t="s">
        <v>249</v>
      </c>
      <c r="E87" s="165" t="s">
        <v>171</v>
      </c>
      <c r="F87" s="166" t="s">
        <v>172</v>
      </c>
      <c r="G87" s="166" t="s">
        <v>173</v>
      </c>
      <c r="H87" s="167">
        <v>112500</v>
      </c>
      <c r="I87" s="167">
        <v>37500</v>
      </c>
      <c r="J87" s="167"/>
      <c r="K87" s="167"/>
      <c r="L87" s="168">
        <f t="shared" si="3"/>
        <v>150000</v>
      </c>
    </row>
    <row r="88" spans="1:12" ht="28.5" x14ac:dyDescent="0.25">
      <c r="A88" s="164">
        <v>63</v>
      </c>
      <c r="B88" s="165">
        <v>550</v>
      </c>
      <c r="C88" s="166" t="s">
        <v>246</v>
      </c>
      <c r="D88" s="166" t="s">
        <v>250</v>
      </c>
      <c r="E88" s="165" t="s">
        <v>189</v>
      </c>
      <c r="F88" s="166" t="s">
        <v>172</v>
      </c>
      <c r="G88" s="166" t="s">
        <v>173</v>
      </c>
      <c r="H88" s="167"/>
      <c r="I88" s="167">
        <v>1757500</v>
      </c>
      <c r="J88" s="167">
        <v>5272500</v>
      </c>
      <c r="K88" s="167"/>
      <c r="L88" s="168">
        <f t="shared" si="3"/>
        <v>7030000</v>
      </c>
    </row>
    <row r="89" spans="1:12" ht="99.75" x14ac:dyDescent="0.25">
      <c r="A89" s="164">
        <v>64</v>
      </c>
      <c r="B89" s="165">
        <v>638</v>
      </c>
      <c r="C89" s="166" t="s">
        <v>251</v>
      </c>
      <c r="D89" s="166" t="s">
        <v>252</v>
      </c>
      <c r="E89" s="165" t="s">
        <v>189</v>
      </c>
      <c r="F89" s="166" t="s">
        <v>178</v>
      </c>
      <c r="G89" s="166" t="s">
        <v>173</v>
      </c>
      <c r="H89" s="167"/>
      <c r="I89" s="167">
        <v>200000</v>
      </c>
      <c r="J89" s="167"/>
      <c r="K89" s="167"/>
      <c r="L89" s="168">
        <f t="shared" si="3"/>
        <v>200000</v>
      </c>
    </row>
    <row r="90" spans="1:12" ht="99.75" x14ac:dyDescent="0.25">
      <c r="A90" s="164">
        <v>65</v>
      </c>
      <c r="B90" s="165">
        <v>638</v>
      </c>
      <c r="C90" s="166" t="s">
        <v>251</v>
      </c>
      <c r="D90" s="166" t="s">
        <v>252</v>
      </c>
      <c r="E90" s="165" t="s">
        <v>189</v>
      </c>
      <c r="F90" s="166" t="s">
        <v>172</v>
      </c>
      <c r="G90" s="166" t="s">
        <v>173</v>
      </c>
      <c r="H90" s="167"/>
      <c r="I90" s="167"/>
      <c r="J90" s="167">
        <v>3000000</v>
      </c>
      <c r="K90" s="167"/>
      <c r="L90" s="168">
        <f t="shared" ref="L90:L153" si="4">SUM(H90:K90)</f>
        <v>3000000</v>
      </c>
    </row>
    <row r="91" spans="1:12" ht="42.75" x14ac:dyDescent="0.25">
      <c r="A91" s="159">
        <v>66</v>
      </c>
      <c r="B91" s="165">
        <v>62</v>
      </c>
      <c r="C91" s="166" t="s">
        <v>253</v>
      </c>
      <c r="D91" s="166" t="s">
        <v>254</v>
      </c>
      <c r="E91" s="165" t="s">
        <v>171</v>
      </c>
      <c r="F91" s="166" t="s">
        <v>172</v>
      </c>
      <c r="G91" s="166" t="s">
        <v>173</v>
      </c>
      <c r="H91" s="167">
        <v>14269513.98</v>
      </c>
      <c r="I91" s="167"/>
      <c r="J91" s="167"/>
      <c r="K91" s="167"/>
      <c r="L91" s="168">
        <f t="shared" si="4"/>
        <v>14269513.98</v>
      </c>
    </row>
    <row r="92" spans="1:12" ht="42.75" x14ac:dyDescent="0.25">
      <c r="A92" s="164">
        <v>67</v>
      </c>
      <c r="B92" s="165">
        <v>63</v>
      </c>
      <c r="C92" s="166" t="s">
        <v>253</v>
      </c>
      <c r="D92" s="166" t="s">
        <v>255</v>
      </c>
      <c r="E92" s="165" t="s">
        <v>171</v>
      </c>
      <c r="F92" s="166" t="s">
        <v>172</v>
      </c>
      <c r="G92" s="166" t="s">
        <v>173</v>
      </c>
      <c r="H92" s="167">
        <v>9248088.375</v>
      </c>
      <c r="I92" s="167">
        <v>3082696.125</v>
      </c>
      <c r="J92" s="167"/>
      <c r="K92" s="167"/>
      <c r="L92" s="168">
        <f t="shared" si="4"/>
        <v>12330784.5</v>
      </c>
    </row>
    <row r="93" spans="1:12" ht="85.5" x14ac:dyDescent="0.25">
      <c r="A93" s="164">
        <v>68</v>
      </c>
      <c r="B93" s="165">
        <v>64</v>
      </c>
      <c r="C93" s="166" t="s">
        <v>253</v>
      </c>
      <c r="D93" s="166" t="s">
        <v>256</v>
      </c>
      <c r="E93" s="165" t="s">
        <v>171</v>
      </c>
      <c r="F93" s="166" t="s">
        <v>172</v>
      </c>
      <c r="G93" s="166" t="s">
        <v>173</v>
      </c>
      <c r="H93" s="167">
        <v>6087327.2894826364</v>
      </c>
      <c r="I93" s="167">
        <v>16105544.510517361</v>
      </c>
      <c r="J93" s="167"/>
      <c r="K93" s="167"/>
      <c r="L93" s="168">
        <f t="shared" si="4"/>
        <v>22192871.799999997</v>
      </c>
    </row>
    <row r="94" spans="1:12" ht="42.75" x14ac:dyDescent="0.25">
      <c r="A94" s="164">
        <v>69</v>
      </c>
      <c r="B94" s="165">
        <v>65</v>
      </c>
      <c r="C94" s="166" t="s">
        <v>253</v>
      </c>
      <c r="D94" s="166" t="s">
        <v>257</v>
      </c>
      <c r="E94" s="165" t="s">
        <v>171</v>
      </c>
      <c r="F94" s="166" t="s">
        <v>172</v>
      </c>
      <c r="G94" s="166" t="s">
        <v>173</v>
      </c>
      <c r="H94" s="167">
        <v>4488710.87</v>
      </c>
      <c r="I94" s="167"/>
      <c r="J94" s="167"/>
      <c r="K94" s="167"/>
      <c r="L94" s="168">
        <f t="shared" si="4"/>
        <v>4488710.87</v>
      </c>
    </row>
    <row r="95" spans="1:12" ht="57" x14ac:dyDescent="0.25">
      <c r="A95" s="164">
        <v>70</v>
      </c>
      <c r="B95" s="165">
        <v>66</v>
      </c>
      <c r="C95" s="166" t="s">
        <v>253</v>
      </c>
      <c r="D95" s="166" t="s">
        <v>258</v>
      </c>
      <c r="E95" s="165" t="s">
        <v>171</v>
      </c>
      <c r="F95" s="166" t="s">
        <v>172</v>
      </c>
      <c r="G95" s="166" t="s">
        <v>173</v>
      </c>
      <c r="H95" s="167">
        <v>5228109.95</v>
      </c>
      <c r="I95" s="167"/>
      <c r="J95" s="167"/>
      <c r="K95" s="167"/>
      <c r="L95" s="168">
        <f t="shared" si="4"/>
        <v>5228109.95</v>
      </c>
    </row>
    <row r="96" spans="1:12" ht="42.75" x14ac:dyDescent="0.25">
      <c r="A96" s="159">
        <v>71</v>
      </c>
      <c r="B96" s="165">
        <v>67</v>
      </c>
      <c r="C96" s="166" t="s">
        <v>253</v>
      </c>
      <c r="D96" s="166" t="s">
        <v>259</v>
      </c>
      <c r="E96" s="165" t="s">
        <v>171</v>
      </c>
      <c r="F96" s="166" t="s">
        <v>172</v>
      </c>
      <c r="G96" s="166" t="s">
        <v>260</v>
      </c>
      <c r="H96" s="167">
        <v>285010.98009999999</v>
      </c>
      <c r="I96" s="167"/>
      <c r="J96" s="167"/>
      <c r="K96" s="167"/>
      <c r="L96" s="168">
        <f t="shared" si="4"/>
        <v>285010.98009999999</v>
      </c>
    </row>
    <row r="97" spans="1:12" ht="57" x14ac:dyDescent="0.25">
      <c r="A97" s="164">
        <v>72</v>
      </c>
      <c r="B97" s="165">
        <v>68</v>
      </c>
      <c r="C97" s="166" t="s">
        <v>253</v>
      </c>
      <c r="D97" s="166" t="s">
        <v>261</v>
      </c>
      <c r="E97" s="165" t="s">
        <v>171</v>
      </c>
      <c r="F97" s="166" t="s">
        <v>172</v>
      </c>
      <c r="G97" s="166" t="s">
        <v>173</v>
      </c>
      <c r="H97" s="167"/>
      <c r="I97" s="167">
        <v>26194978.75666666</v>
      </c>
      <c r="J97" s="167">
        <v>48024127.720555551</v>
      </c>
      <c r="K97" s="167">
        <v>4365829.7927777776</v>
      </c>
      <c r="L97" s="168">
        <f t="shared" si="4"/>
        <v>78584936.269999981</v>
      </c>
    </row>
    <row r="98" spans="1:12" ht="42.75" x14ac:dyDescent="0.25">
      <c r="A98" s="164">
        <v>73</v>
      </c>
      <c r="B98" s="165">
        <v>69</v>
      </c>
      <c r="C98" s="166" t="s">
        <v>253</v>
      </c>
      <c r="D98" s="166" t="s">
        <v>262</v>
      </c>
      <c r="E98" s="165" t="s">
        <v>171</v>
      </c>
      <c r="F98" s="166" t="s">
        <v>172</v>
      </c>
      <c r="G98" s="166" t="s">
        <v>173</v>
      </c>
      <c r="H98" s="167"/>
      <c r="I98" s="167">
        <v>10714630.714285711</v>
      </c>
      <c r="J98" s="167">
        <v>26429422.428571429</v>
      </c>
      <c r="K98" s="167">
        <v>2857234.8571428568</v>
      </c>
      <c r="L98" s="168">
        <f t="shared" si="4"/>
        <v>40001288</v>
      </c>
    </row>
    <row r="99" spans="1:12" ht="57" x14ac:dyDescent="0.25">
      <c r="A99" s="164">
        <v>74</v>
      </c>
      <c r="B99" s="165">
        <v>70</v>
      </c>
      <c r="C99" s="166" t="s">
        <v>253</v>
      </c>
      <c r="D99" s="166" t="s">
        <v>263</v>
      </c>
      <c r="E99" s="165" t="s">
        <v>171</v>
      </c>
      <c r="F99" s="166" t="s">
        <v>172</v>
      </c>
      <c r="G99" s="166" t="s">
        <v>173</v>
      </c>
      <c r="H99" s="167">
        <v>35103104.850000001</v>
      </c>
      <c r="I99" s="167"/>
      <c r="J99" s="167"/>
      <c r="K99" s="167"/>
      <c r="L99" s="168">
        <f t="shared" si="4"/>
        <v>35103104.850000001</v>
      </c>
    </row>
    <row r="100" spans="1:12" ht="57" x14ac:dyDescent="0.25">
      <c r="A100" s="164">
        <v>75</v>
      </c>
      <c r="B100" s="165">
        <v>72</v>
      </c>
      <c r="C100" s="166" t="s">
        <v>253</v>
      </c>
      <c r="D100" s="166" t="s">
        <v>264</v>
      </c>
      <c r="E100" s="165" t="s">
        <v>171</v>
      </c>
      <c r="F100" s="166" t="s">
        <v>178</v>
      </c>
      <c r="G100" s="166" t="s">
        <v>173</v>
      </c>
      <c r="H100" s="167">
        <v>199999.99999999991</v>
      </c>
      <c r="I100" s="167"/>
      <c r="J100" s="167"/>
      <c r="K100" s="167"/>
      <c r="L100" s="168">
        <f t="shared" si="4"/>
        <v>199999.99999999991</v>
      </c>
    </row>
    <row r="101" spans="1:12" ht="57" x14ac:dyDescent="0.25">
      <c r="A101" s="159">
        <v>76</v>
      </c>
      <c r="B101" s="165">
        <v>72</v>
      </c>
      <c r="C101" s="166" t="s">
        <v>253</v>
      </c>
      <c r="D101" s="166" t="s">
        <v>264</v>
      </c>
      <c r="E101" s="165" t="s">
        <v>171</v>
      </c>
      <c r="F101" s="166" t="s">
        <v>172</v>
      </c>
      <c r="G101" s="166" t="s">
        <v>173</v>
      </c>
      <c r="H101" s="167"/>
      <c r="I101" s="167"/>
      <c r="J101" s="167">
        <v>9999999.9999999981</v>
      </c>
      <c r="K101" s="167">
        <v>20000000</v>
      </c>
      <c r="L101" s="168">
        <f t="shared" si="4"/>
        <v>30000000</v>
      </c>
    </row>
    <row r="102" spans="1:12" ht="42.75" x14ac:dyDescent="0.25">
      <c r="A102" s="164">
        <v>77</v>
      </c>
      <c r="B102" s="165">
        <v>73</v>
      </c>
      <c r="C102" s="166" t="s">
        <v>253</v>
      </c>
      <c r="D102" s="166" t="s">
        <v>265</v>
      </c>
      <c r="E102" s="165" t="s">
        <v>171</v>
      </c>
      <c r="F102" s="166" t="s">
        <v>178</v>
      </c>
      <c r="G102" s="166" t="s">
        <v>173</v>
      </c>
      <c r="H102" s="167"/>
      <c r="I102" s="167"/>
      <c r="J102" s="167"/>
      <c r="K102" s="167">
        <v>5000000</v>
      </c>
      <c r="L102" s="168">
        <f t="shared" si="4"/>
        <v>5000000</v>
      </c>
    </row>
    <row r="103" spans="1:12" ht="28.5" x14ac:dyDescent="0.25">
      <c r="A103" s="164">
        <v>78</v>
      </c>
      <c r="B103" s="165">
        <v>1020</v>
      </c>
      <c r="C103" s="166" t="s">
        <v>253</v>
      </c>
      <c r="D103" s="166" t="s">
        <v>220</v>
      </c>
      <c r="E103" s="165" t="s">
        <v>171</v>
      </c>
      <c r="F103" s="166" t="s">
        <v>178</v>
      </c>
      <c r="G103" s="166" t="s">
        <v>173</v>
      </c>
      <c r="H103" s="167"/>
      <c r="I103" s="167"/>
      <c r="J103" s="167">
        <v>5262105.26</v>
      </c>
      <c r="K103" s="167"/>
      <c r="L103" s="168">
        <f t="shared" si="4"/>
        <v>5262105.26</v>
      </c>
    </row>
    <row r="104" spans="1:12" ht="71.25" x14ac:dyDescent="0.25">
      <c r="A104" s="164">
        <v>79</v>
      </c>
      <c r="B104" s="165">
        <v>1305</v>
      </c>
      <c r="C104" s="166" t="s">
        <v>253</v>
      </c>
      <c r="D104" s="166" t="s">
        <v>266</v>
      </c>
      <c r="E104" s="165" t="s">
        <v>171</v>
      </c>
      <c r="F104" s="166" t="s">
        <v>172</v>
      </c>
      <c r="G104" s="166" t="s">
        <v>173</v>
      </c>
      <c r="H104" s="167">
        <v>423895.83333333337</v>
      </c>
      <c r="I104" s="167"/>
      <c r="J104" s="167"/>
      <c r="K104" s="167"/>
      <c r="L104" s="168">
        <f t="shared" si="4"/>
        <v>423895.83333333337</v>
      </c>
    </row>
    <row r="105" spans="1:12" ht="42.75" x14ac:dyDescent="0.25">
      <c r="A105" s="164">
        <v>80</v>
      </c>
      <c r="B105" s="165">
        <v>1338</v>
      </c>
      <c r="C105" s="166" t="s">
        <v>253</v>
      </c>
      <c r="D105" s="166" t="s">
        <v>267</v>
      </c>
      <c r="E105" s="165" t="s">
        <v>171</v>
      </c>
      <c r="F105" s="166" t="s">
        <v>172</v>
      </c>
      <c r="G105" s="166" t="s">
        <v>173</v>
      </c>
      <c r="H105" s="167"/>
      <c r="I105" s="167">
        <v>13333333.33333333</v>
      </c>
      <c r="J105" s="167">
        <v>18222222.22222222</v>
      </c>
      <c r="K105" s="167">
        <v>444444.44444444438</v>
      </c>
      <c r="L105" s="168">
        <f t="shared" si="4"/>
        <v>31999999.999999996</v>
      </c>
    </row>
    <row r="106" spans="1:12" ht="42.75" x14ac:dyDescent="0.25">
      <c r="A106" s="159">
        <v>81</v>
      </c>
      <c r="B106" s="165">
        <v>1345</v>
      </c>
      <c r="C106" s="166" t="s">
        <v>253</v>
      </c>
      <c r="D106" s="166" t="s">
        <v>268</v>
      </c>
      <c r="E106" s="165" t="s">
        <v>171</v>
      </c>
      <c r="F106" s="166" t="s">
        <v>172</v>
      </c>
      <c r="G106" s="166" t="s">
        <v>173</v>
      </c>
      <c r="H106" s="167">
        <v>2479166.666666667</v>
      </c>
      <c r="I106" s="167">
        <v>6020833.3333333321</v>
      </c>
      <c r="J106" s="167"/>
      <c r="K106" s="167"/>
      <c r="L106" s="168">
        <f t="shared" si="4"/>
        <v>8500000</v>
      </c>
    </row>
    <row r="107" spans="1:12" ht="114" x14ac:dyDescent="0.25">
      <c r="A107" s="164">
        <v>82</v>
      </c>
      <c r="B107" s="165">
        <v>1375</v>
      </c>
      <c r="C107" s="166" t="s">
        <v>253</v>
      </c>
      <c r="D107" s="166" t="s">
        <v>269</v>
      </c>
      <c r="E107" s="165" t="s">
        <v>171</v>
      </c>
      <c r="F107" s="166" t="s">
        <v>178</v>
      </c>
      <c r="G107" s="166" t="s">
        <v>270</v>
      </c>
      <c r="H107" s="167"/>
      <c r="I107" s="167">
        <v>15288047</v>
      </c>
      <c r="J107" s="167"/>
      <c r="K107" s="167"/>
      <c r="L107" s="168">
        <f t="shared" si="4"/>
        <v>15288047</v>
      </c>
    </row>
    <row r="108" spans="1:12" ht="85.5" x14ac:dyDescent="0.25">
      <c r="A108" s="164">
        <v>83</v>
      </c>
      <c r="B108" s="165">
        <v>1380</v>
      </c>
      <c r="C108" s="166" t="s">
        <v>253</v>
      </c>
      <c r="D108" s="166" t="s">
        <v>271</v>
      </c>
      <c r="E108" s="165" t="s">
        <v>171</v>
      </c>
      <c r="F108" s="166" t="s">
        <v>178</v>
      </c>
      <c r="G108" s="166" t="s">
        <v>173</v>
      </c>
      <c r="H108" s="167"/>
      <c r="I108" s="167">
        <v>1404539.2</v>
      </c>
      <c r="J108" s="167"/>
      <c r="K108" s="167"/>
      <c r="L108" s="168">
        <f t="shared" si="4"/>
        <v>1404539.2</v>
      </c>
    </row>
    <row r="109" spans="1:12" ht="99.75" x14ac:dyDescent="0.25">
      <c r="A109" s="164">
        <v>84</v>
      </c>
      <c r="B109" s="165">
        <v>1382</v>
      </c>
      <c r="C109" s="166" t="s">
        <v>253</v>
      </c>
      <c r="D109" s="166" t="s">
        <v>272</v>
      </c>
      <c r="E109" s="165" t="s">
        <v>171</v>
      </c>
      <c r="F109" s="166" t="s">
        <v>178</v>
      </c>
      <c r="G109" s="166" t="s">
        <v>173</v>
      </c>
      <c r="H109" s="167">
        <v>960818.78</v>
      </c>
      <c r="I109" s="167"/>
      <c r="J109" s="167"/>
      <c r="K109" s="167"/>
      <c r="L109" s="168">
        <f t="shared" si="4"/>
        <v>960818.78</v>
      </c>
    </row>
    <row r="110" spans="1:12" ht="28.5" x14ac:dyDescent="0.25">
      <c r="A110" s="164">
        <v>85</v>
      </c>
      <c r="B110" s="165">
        <v>75</v>
      </c>
      <c r="C110" s="166" t="s">
        <v>253</v>
      </c>
      <c r="D110" s="166" t="s">
        <v>273</v>
      </c>
      <c r="E110" s="165" t="s">
        <v>189</v>
      </c>
      <c r="F110" s="166" t="s">
        <v>172</v>
      </c>
      <c r="G110" s="166" t="s">
        <v>274</v>
      </c>
      <c r="H110" s="167">
        <v>13374790.714400001</v>
      </c>
      <c r="I110" s="167"/>
      <c r="J110" s="167"/>
      <c r="K110" s="167"/>
      <c r="L110" s="168">
        <f t="shared" si="4"/>
        <v>13374790.714400001</v>
      </c>
    </row>
    <row r="111" spans="1:12" ht="71.25" x14ac:dyDescent="0.25">
      <c r="A111" s="159">
        <v>86</v>
      </c>
      <c r="B111" s="165">
        <v>77</v>
      </c>
      <c r="C111" s="166" t="s">
        <v>253</v>
      </c>
      <c r="D111" s="166" t="s">
        <v>275</v>
      </c>
      <c r="E111" s="165" t="s">
        <v>189</v>
      </c>
      <c r="F111" s="166" t="s">
        <v>172</v>
      </c>
      <c r="G111" s="166" t="s">
        <v>276</v>
      </c>
      <c r="H111" s="167">
        <v>5610331.2980000004</v>
      </c>
      <c r="I111" s="167"/>
      <c r="J111" s="167"/>
      <c r="K111" s="167"/>
      <c r="L111" s="168">
        <f t="shared" si="4"/>
        <v>5610331.2980000004</v>
      </c>
    </row>
    <row r="112" spans="1:12" ht="99.75" x14ac:dyDescent="0.25">
      <c r="A112" s="164">
        <v>87</v>
      </c>
      <c r="B112" s="165">
        <v>78</v>
      </c>
      <c r="C112" s="166" t="s">
        <v>253</v>
      </c>
      <c r="D112" s="166" t="s">
        <v>277</v>
      </c>
      <c r="E112" s="165" t="s">
        <v>189</v>
      </c>
      <c r="F112" s="166" t="s">
        <v>172</v>
      </c>
      <c r="G112" s="166" t="s">
        <v>173</v>
      </c>
      <c r="H112" s="167">
        <v>10635453.460878531</v>
      </c>
      <c r="I112" s="167">
        <v>14878402.009121479</v>
      </c>
      <c r="J112" s="167"/>
      <c r="K112" s="167"/>
      <c r="L112" s="168">
        <f t="shared" si="4"/>
        <v>25513855.47000001</v>
      </c>
    </row>
    <row r="113" spans="1:12" ht="42.75" x14ac:dyDescent="0.25">
      <c r="A113" s="164">
        <v>88</v>
      </c>
      <c r="B113" s="165">
        <v>79</v>
      </c>
      <c r="C113" s="166" t="s">
        <v>253</v>
      </c>
      <c r="D113" s="166" t="s">
        <v>278</v>
      </c>
      <c r="E113" s="165" t="s">
        <v>189</v>
      </c>
      <c r="F113" s="166" t="s">
        <v>172</v>
      </c>
      <c r="G113" s="166" t="s">
        <v>279</v>
      </c>
      <c r="H113" s="170">
        <v>16692960.265799999</v>
      </c>
      <c r="I113" s="167"/>
      <c r="J113" s="167"/>
      <c r="K113" s="167"/>
      <c r="L113" s="168">
        <f t="shared" si="4"/>
        <v>16692960.265799999</v>
      </c>
    </row>
    <row r="114" spans="1:12" ht="42.75" x14ac:dyDescent="0.25">
      <c r="A114" s="164">
        <v>89</v>
      </c>
      <c r="B114" s="165">
        <v>80</v>
      </c>
      <c r="C114" s="166" t="s">
        <v>253</v>
      </c>
      <c r="D114" s="166" t="s">
        <v>280</v>
      </c>
      <c r="E114" s="165" t="s">
        <v>189</v>
      </c>
      <c r="F114" s="166" t="s">
        <v>172</v>
      </c>
      <c r="G114" s="166" t="s">
        <v>281</v>
      </c>
      <c r="H114" s="167">
        <v>6938617.3499999996</v>
      </c>
      <c r="I114" s="167"/>
      <c r="J114" s="167"/>
      <c r="K114" s="167"/>
      <c r="L114" s="168">
        <f t="shared" si="4"/>
        <v>6938617.3499999996</v>
      </c>
    </row>
    <row r="115" spans="1:12" ht="71.25" x14ac:dyDescent="0.25">
      <c r="A115" s="164">
        <v>90</v>
      </c>
      <c r="B115" s="165">
        <v>81</v>
      </c>
      <c r="C115" s="166" t="s">
        <v>253</v>
      </c>
      <c r="D115" s="166" t="s">
        <v>282</v>
      </c>
      <c r="E115" s="165" t="s">
        <v>189</v>
      </c>
      <c r="F115" s="166" t="s">
        <v>172</v>
      </c>
      <c r="G115" s="166" t="s">
        <v>173</v>
      </c>
      <c r="H115" s="167"/>
      <c r="I115" s="167">
        <v>4225623.4786956524</v>
      </c>
      <c r="J115" s="167">
        <v>9658567.9513043482</v>
      </c>
      <c r="K115" s="167"/>
      <c r="L115" s="168">
        <f t="shared" si="4"/>
        <v>13884191.43</v>
      </c>
    </row>
    <row r="116" spans="1:12" ht="28.5" x14ac:dyDescent="0.25">
      <c r="A116" s="159">
        <v>91</v>
      </c>
      <c r="B116" s="165">
        <v>83</v>
      </c>
      <c r="C116" s="166" t="s">
        <v>253</v>
      </c>
      <c r="D116" s="166" t="s">
        <v>283</v>
      </c>
      <c r="E116" s="165" t="s">
        <v>189</v>
      </c>
      <c r="F116" s="166" t="s">
        <v>172</v>
      </c>
      <c r="G116" s="166" t="s">
        <v>173</v>
      </c>
      <c r="H116" s="167"/>
      <c r="I116" s="167">
        <v>15111353.125</v>
      </c>
      <c r="J116" s="167">
        <v>33244976.875</v>
      </c>
      <c r="K116" s="167">
        <v>24178165</v>
      </c>
      <c r="L116" s="168">
        <f t="shared" si="4"/>
        <v>72534495</v>
      </c>
    </row>
    <row r="117" spans="1:12" ht="114" x14ac:dyDescent="0.25">
      <c r="A117" s="164">
        <v>92</v>
      </c>
      <c r="B117" s="165">
        <v>84</v>
      </c>
      <c r="C117" s="166" t="s">
        <v>253</v>
      </c>
      <c r="D117" s="166" t="s">
        <v>284</v>
      </c>
      <c r="E117" s="165" t="s">
        <v>189</v>
      </c>
      <c r="F117" s="166" t="s">
        <v>172</v>
      </c>
      <c r="G117" s="166" t="s">
        <v>173</v>
      </c>
      <c r="H117" s="167"/>
      <c r="I117" s="167">
        <v>1815891.624166667</v>
      </c>
      <c r="J117" s="167">
        <v>292885.74583333329</v>
      </c>
      <c r="K117" s="167"/>
      <c r="L117" s="168">
        <f t="shared" si="4"/>
        <v>2108777.37</v>
      </c>
    </row>
    <row r="118" spans="1:12" ht="28.5" x14ac:dyDescent="0.25">
      <c r="A118" s="164">
        <v>93</v>
      </c>
      <c r="B118" s="165">
        <v>85</v>
      </c>
      <c r="C118" s="166" t="s">
        <v>253</v>
      </c>
      <c r="D118" s="166" t="s">
        <v>285</v>
      </c>
      <c r="E118" s="165" t="s">
        <v>189</v>
      </c>
      <c r="F118" s="166" t="s">
        <v>178</v>
      </c>
      <c r="G118" s="166" t="s">
        <v>173</v>
      </c>
      <c r="H118" s="167">
        <v>1500000</v>
      </c>
      <c r="I118" s="167"/>
      <c r="J118" s="167"/>
      <c r="K118" s="167"/>
      <c r="L118" s="168">
        <f t="shared" si="4"/>
        <v>1500000</v>
      </c>
    </row>
    <row r="119" spans="1:12" ht="28.5" x14ac:dyDescent="0.25">
      <c r="A119" s="164">
        <v>94</v>
      </c>
      <c r="B119" s="165">
        <v>85</v>
      </c>
      <c r="C119" s="166" t="s">
        <v>253</v>
      </c>
      <c r="D119" s="166" t="s">
        <v>285</v>
      </c>
      <c r="E119" s="165" t="s">
        <v>189</v>
      </c>
      <c r="F119" s="166" t="s">
        <v>172</v>
      </c>
      <c r="G119" s="166" t="s">
        <v>173</v>
      </c>
      <c r="H119" s="167"/>
      <c r="I119" s="167">
        <v>2941176.4705882352</v>
      </c>
      <c r="J119" s="167">
        <v>47058823.529411763</v>
      </c>
      <c r="K119" s="167"/>
      <c r="L119" s="168">
        <f t="shared" si="4"/>
        <v>50000000</v>
      </c>
    </row>
    <row r="120" spans="1:12" ht="28.5" x14ac:dyDescent="0.25">
      <c r="A120" s="164">
        <v>95</v>
      </c>
      <c r="B120" s="165">
        <v>86</v>
      </c>
      <c r="C120" s="166" t="s">
        <v>253</v>
      </c>
      <c r="D120" s="166" t="s">
        <v>286</v>
      </c>
      <c r="E120" s="165" t="s">
        <v>189</v>
      </c>
      <c r="F120" s="166" t="s">
        <v>178</v>
      </c>
      <c r="G120" s="166" t="s">
        <v>173</v>
      </c>
      <c r="H120" s="167">
        <v>300000</v>
      </c>
      <c r="I120" s="167"/>
      <c r="J120" s="167"/>
      <c r="K120" s="167"/>
      <c r="L120" s="168">
        <f t="shared" si="4"/>
        <v>300000</v>
      </c>
    </row>
    <row r="121" spans="1:12" ht="28.5" x14ac:dyDescent="0.25">
      <c r="A121" s="159">
        <v>96</v>
      </c>
      <c r="B121" s="165">
        <v>86</v>
      </c>
      <c r="C121" s="166" t="s">
        <v>253</v>
      </c>
      <c r="D121" s="166" t="s">
        <v>286</v>
      </c>
      <c r="E121" s="165" t="s">
        <v>189</v>
      </c>
      <c r="F121" s="166" t="s">
        <v>172</v>
      </c>
      <c r="G121" s="166" t="s">
        <v>173</v>
      </c>
      <c r="H121" s="167"/>
      <c r="I121" s="167"/>
      <c r="J121" s="167">
        <v>9999999.9999999981</v>
      </c>
      <c r="K121" s="167"/>
      <c r="L121" s="168">
        <f t="shared" si="4"/>
        <v>9999999.9999999981</v>
      </c>
    </row>
    <row r="122" spans="1:12" ht="42.75" x14ac:dyDescent="0.25">
      <c r="A122" s="164">
        <v>97</v>
      </c>
      <c r="B122" s="165">
        <v>87</v>
      </c>
      <c r="C122" s="166" t="s">
        <v>253</v>
      </c>
      <c r="D122" s="166" t="s">
        <v>287</v>
      </c>
      <c r="E122" s="165" t="s">
        <v>189</v>
      </c>
      <c r="F122" s="166" t="s">
        <v>178</v>
      </c>
      <c r="G122" s="166" t="s">
        <v>173</v>
      </c>
      <c r="H122" s="167">
        <v>1200000</v>
      </c>
      <c r="I122" s="167"/>
      <c r="J122" s="167"/>
      <c r="K122" s="167"/>
      <c r="L122" s="168">
        <f t="shared" si="4"/>
        <v>1200000</v>
      </c>
    </row>
    <row r="123" spans="1:12" ht="42.75" x14ac:dyDescent="0.25">
      <c r="A123" s="164">
        <v>98</v>
      </c>
      <c r="B123" s="165">
        <v>87</v>
      </c>
      <c r="C123" s="166" t="s">
        <v>253</v>
      </c>
      <c r="D123" s="166" t="s">
        <v>287</v>
      </c>
      <c r="E123" s="165" t="s">
        <v>189</v>
      </c>
      <c r="F123" s="166" t="s">
        <v>172</v>
      </c>
      <c r="G123" s="166" t="s">
        <v>173</v>
      </c>
      <c r="H123" s="167"/>
      <c r="I123" s="167"/>
      <c r="J123" s="167">
        <v>28000000</v>
      </c>
      <c r="K123" s="167">
        <v>12000000</v>
      </c>
      <c r="L123" s="168">
        <f t="shared" si="4"/>
        <v>40000000</v>
      </c>
    </row>
    <row r="124" spans="1:12" ht="28.5" x14ac:dyDescent="0.25">
      <c r="A124" s="164">
        <v>99</v>
      </c>
      <c r="B124" s="165">
        <v>874</v>
      </c>
      <c r="C124" s="166" t="s">
        <v>253</v>
      </c>
      <c r="D124" s="166" t="s">
        <v>288</v>
      </c>
      <c r="E124" s="165" t="s">
        <v>189</v>
      </c>
      <c r="F124" s="166" t="s">
        <v>172</v>
      </c>
      <c r="G124" s="166" t="s">
        <v>173</v>
      </c>
      <c r="H124" s="167"/>
      <c r="I124" s="167">
        <v>16717143.543636359</v>
      </c>
      <c r="J124" s="167">
        <v>73137503.003409088</v>
      </c>
      <c r="K124" s="167">
        <v>2089642.9429545449</v>
      </c>
      <c r="L124" s="168">
        <f t="shared" si="4"/>
        <v>91944289.48999998</v>
      </c>
    </row>
    <row r="125" spans="1:12" ht="28.5" x14ac:dyDescent="0.25">
      <c r="A125" s="164">
        <v>100</v>
      </c>
      <c r="B125" s="165">
        <v>875</v>
      </c>
      <c r="C125" s="166" t="s">
        <v>253</v>
      </c>
      <c r="D125" s="166" t="s">
        <v>289</v>
      </c>
      <c r="E125" s="165" t="s">
        <v>189</v>
      </c>
      <c r="F125" s="166" t="s">
        <v>172</v>
      </c>
      <c r="G125" s="166" t="s">
        <v>173</v>
      </c>
      <c r="H125" s="167"/>
      <c r="I125" s="167">
        <v>7733241.3238181807</v>
      </c>
      <c r="J125" s="167">
        <v>46399447.942909099</v>
      </c>
      <c r="K125" s="167">
        <v>6628492.5632727267</v>
      </c>
      <c r="L125" s="168">
        <f t="shared" si="4"/>
        <v>60761181.830000013</v>
      </c>
    </row>
    <row r="126" spans="1:12" ht="42.75" x14ac:dyDescent="0.25">
      <c r="A126" s="159">
        <v>101</v>
      </c>
      <c r="B126" s="165">
        <v>1257</v>
      </c>
      <c r="C126" s="166" t="s">
        <v>253</v>
      </c>
      <c r="D126" s="166" t="s">
        <v>290</v>
      </c>
      <c r="E126" s="165" t="s">
        <v>189</v>
      </c>
      <c r="F126" s="166" t="s">
        <v>172</v>
      </c>
      <c r="G126" s="166" t="s">
        <v>173</v>
      </c>
      <c r="H126" s="167">
        <v>1097276</v>
      </c>
      <c r="I126" s="167"/>
      <c r="J126" s="167"/>
      <c r="K126" s="167"/>
      <c r="L126" s="168">
        <f t="shared" si="4"/>
        <v>1097276</v>
      </c>
    </row>
    <row r="127" spans="1:12" ht="42.75" x14ac:dyDescent="0.25">
      <c r="A127" s="164">
        <v>102</v>
      </c>
      <c r="B127" s="165">
        <v>1258</v>
      </c>
      <c r="C127" s="166" t="s">
        <v>253</v>
      </c>
      <c r="D127" s="166" t="s">
        <v>291</v>
      </c>
      <c r="E127" s="165" t="s">
        <v>189</v>
      </c>
      <c r="F127" s="166" t="s">
        <v>172</v>
      </c>
      <c r="G127" s="166" t="s">
        <v>173</v>
      </c>
      <c r="H127" s="170">
        <v>500000</v>
      </c>
      <c r="I127" s="167"/>
      <c r="J127" s="167"/>
      <c r="K127" s="167"/>
      <c r="L127" s="168">
        <f t="shared" si="4"/>
        <v>500000</v>
      </c>
    </row>
    <row r="128" spans="1:12" ht="42.75" x14ac:dyDescent="0.25">
      <c r="A128" s="164">
        <v>103</v>
      </c>
      <c r="B128" s="165">
        <v>1259</v>
      </c>
      <c r="C128" s="166" t="s">
        <v>253</v>
      </c>
      <c r="D128" s="166" t="s">
        <v>292</v>
      </c>
      <c r="E128" s="165" t="s">
        <v>189</v>
      </c>
      <c r="F128" s="166" t="s">
        <v>172</v>
      </c>
      <c r="G128" s="166" t="s">
        <v>173</v>
      </c>
      <c r="H128" s="167">
        <v>21295462.469999999</v>
      </c>
      <c r="I128" s="167"/>
      <c r="J128" s="167"/>
      <c r="K128" s="167"/>
      <c r="L128" s="168">
        <f t="shared" si="4"/>
        <v>21295462.469999999</v>
      </c>
    </row>
    <row r="129" spans="1:12" ht="57" x14ac:dyDescent="0.25">
      <c r="A129" s="164">
        <v>104</v>
      </c>
      <c r="B129" s="165">
        <v>1260</v>
      </c>
      <c r="C129" s="166" t="s">
        <v>253</v>
      </c>
      <c r="D129" s="166" t="s">
        <v>293</v>
      </c>
      <c r="E129" s="165" t="s">
        <v>189</v>
      </c>
      <c r="F129" s="166" t="s">
        <v>172</v>
      </c>
      <c r="G129" s="166" t="s">
        <v>173</v>
      </c>
      <c r="H129" s="167">
        <v>150000</v>
      </c>
      <c r="I129" s="167"/>
      <c r="J129" s="167"/>
      <c r="K129" s="167"/>
      <c r="L129" s="168">
        <f t="shared" si="4"/>
        <v>150000</v>
      </c>
    </row>
    <row r="130" spans="1:12" ht="42.75" x14ac:dyDescent="0.25">
      <c r="A130" s="164">
        <v>105</v>
      </c>
      <c r="B130" s="165">
        <v>1261</v>
      </c>
      <c r="C130" s="166" t="s">
        <v>253</v>
      </c>
      <c r="D130" s="166" t="s">
        <v>294</v>
      </c>
      <c r="E130" s="165" t="s">
        <v>189</v>
      </c>
      <c r="F130" s="166" t="s">
        <v>172</v>
      </c>
      <c r="G130" s="166" t="s">
        <v>173</v>
      </c>
      <c r="H130" s="167">
        <v>837300</v>
      </c>
      <c r="I130" s="167"/>
      <c r="J130" s="167"/>
      <c r="K130" s="167"/>
      <c r="L130" s="168">
        <f t="shared" si="4"/>
        <v>837300</v>
      </c>
    </row>
    <row r="131" spans="1:12" ht="42.75" x14ac:dyDescent="0.25">
      <c r="A131" s="159">
        <v>106</v>
      </c>
      <c r="B131" s="165">
        <v>1262</v>
      </c>
      <c r="C131" s="166" t="s">
        <v>253</v>
      </c>
      <c r="D131" s="166" t="s">
        <v>295</v>
      </c>
      <c r="E131" s="165" t="s">
        <v>189</v>
      </c>
      <c r="F131" s="166" t="s">
        <v>172</v>
      </c>
      <c r="G131" s="166" t="s">
        <v>173</v>
      </c>
      <c r="H131" s="167">
        <v>58885.05</v>
      </c>
      <c r="I131" s="167"/>
      <c r="J131" s="167"/>
      <c r="K131" s="167"/>
      <c r="L131" s="168">
        <f t="shared" si="4"/>
        <v>58885.05</v>
      </c>
    </row>
    <row r="132" spans="1:12" ht="42.75" x14ac:dyDescent="0.25">
      <c r="A132" s="164">
        <v>107</v>
      </c>
      <c r="B132" s="165">
        <v>1264</v>
      </c>
      <c r="C132" s="166" t="s">
        <v>253</v>
      </c>
      <c r="D132" s="166" t="s">
        <v>296</v>
      </c>
      <c r="E132" s="165" t="s">
        <v>189</v>
      </c>
      <c r="F132" s="166" t="s">
        <v>172</v>
      </c>
      <c r="G132" s="166" t="s">
        <v>173</v>
      </c>
      <c r="H132" s="170">
        <v>1400000</v>
      </c>
      <c r="I132" s="167"/>
      <c r="J132" s="167"/>
      <c r="K132" s="167"/>
      <c r="L132" s="168">
        <f t="shared" si="4"/>
        <v>1400000</v>
      </c>
    </row>
    <row r="133" spans="1:12" ht="42.75" x14ac:dyDescent="0.25">
      <c r="A133" s="164">
        <v>108</v>
      </c>
      <c r="B133" s="165">
        <v>1265</v>
      </c>
      <c r="C133" s="166" t="s">
        <v>253</v>
      </c>
      <c r="D133" s="166" t="s">
        <v>297</v>
      </c>
      <c r="E133" s="165" t="s">
        <v>189</v>
      </c>
      <c r="F133" s="166" t="s">
        <v>172</v>
      </c>
      <c r="G133" s="166" t="s">
        <v>173</v>
      </c>
      <c r="H133" s="167">
        <v>366594.25</v>
      </c>
      <c r="I133" s="167"/>
      <c r="J133" s="167"/>
      <c r="K133" s="167"/>
      <c r="L133" s="168">
        <f t="shared" si="4"/>
        <v>366594.25</v>
      </c>
    </row>
    <row r="134" spans="1:12" ht="42.75" x14ac:dyDescent="0.25">
      <c r="A134" s="164">
        <v>109</v>
      </c>
      <c r="B134" s="165">
        <v>1268</v>
      </c>
      <c r="C134" s="166" t="s">
        <v>253</v>
      </c>
      <c r="D134" s="166" t="s">
        <v>298</v>
      </c>
      <c r="E134" s="165" t="s">
        <v>189</v>
      </c>
      <c r="F134" s="166" t="s">
        <v>172</v>
      </c>
      <c r="G134" s="166" t="s">
        <v>173</v>
      </c>
      <c r="H134" s="167">
        <v>347949.73</v>
      </c>
      <c r="I134" s="167"/>
      <c r="J134" s="167"/>
      <c r="K134" s="167"/>
      <c r="L134" s="168">
        <f t="shared" si="4"/>
        <v>347949.73</v>
      </c>
    </row>
    <row r="135" spans="1:12" ht="57" x14ac:dyDescent="0.25">
      <c r="A135" s="164">
        <v>110</v>
      </c>
      <c r="B135" s="165">
        <v>1269</v>
      </c>
      <c r="C135" s="166" t="s">
        <v>253</v>
      </c>
      <c r="D135" s="166" t="s">
        <v>299</v>
      </c>
      <c r="E135" s="165" t="s">
        <v>189</v>
      </c>
      <c r="F135" s="166" t="s">
        <v>172</v>
      </c>
      <c r="G135" s="166" t="s">
        <v>173</v>
      </c>
      <c r="H135" s="167">
        <v>2095503</v>
      </c>
      <c r="I135" s="167"/>
      <c r="J135" s="167"/>
      <c r="K135" s="167"/>
      <c r="L135" s="168">
        <f t="shared" si="4"/>
        <v>2095503</v>
      </c>
    </row>
    <row r="136" spans="1:12" ht="57" x14ac:dyDescent="0.25">
      <c r="A136" s="159">
        <v>111</v>
      </c>
      <c r="B136" s="165">
        <v>1272</v>
      </c>
      <c r="C136" s="166" t="s">
        <v>253</v>
      </c>
      <c r="D136" s="166" t="s">
        <v>300</v>
      </c>
      <c r="E136" s="165" t="s">
        <v>189</v>
      </c>
      <c r="F136" s="166" t="s">
        <v>172</v>
      </c>
      <c r="G136" s="166" t="s">
        <v>173</v>
      </c>
      <c r="H136" s="167">
        <v>1165732.01</v>
      </c>
      <c r="I136" s="167"/>
      <c r="J136" s="167"/>
      <c r="K136" s="167"/>
      <c r="L136" s="168">
        <f t="shared" si="4"/>
        <v>1165732.01</v>
      </c>
    </row>
    <row r="137" spans="1:12" ht="57" x14ac:dyDescent="0.25">
      <c r="A137" s="164">
        <v>112</v>
      </c>
      <c r="B137" s="165">
        <v>1273</v>
      </c>
      <c r="C137" s="166" t="s">
        <v>253</v>
      </c>
      <c r="D137" s="166" t="s">
        <v>301</v>
      </c>
      <c r="E137" s="165" t="s">
        <v>189</v>
      </c>
      <c r="F137" s="166" t="s">
        <v>172</v>
      </c>
      <c r="G137" s="166" t="s">
        <v>173</v>
      </c>
      <c r="H137" s="167">
        <v>63572.993333333339</v>
      </c>
      <c r="I137" s="167"/>
      <c r="J137" s="167"/>
      <c r="K137" s="167"/>
      <c r="L137" s="168">
        <f t="shared" si="4"/>
        <v>63572.993333333339</v>
      </c>
    </row>
    <row r="138" spans="1:12" ht="42.75" x14ac:dyDescent="0.25">
      <c r="A138" s="164">
        <v>113</v>
      </c>
      <c r="B138" s="165">
        <v>1274</v>
      </c>
      <c r="C138" s="166" t="s">
        <v>253</v>
      </c>
      <c r="D138" s="166" t="s">
        <v>302</v>
      </c>
      <c r="E138" s="165" t="s">
        <v>189</v>
      </c>
      <c r="F138" s="166" t="s">
        <v>172</v>
      </c>
      <c r="G138" s="166" t="s">
        <v>173</v>
      </c>
      <c r="H138" s="167">
        <v>169311.79333333331</v>
      </c>
      <c r="I138" s="167"/>
      <c r="J138" s="167"/>
      <c r="K138" s="167"/>
      <c r="L138" s="168">
        <f t="shared" si="4"/>
        <v>169311.79333333331</v>
      </c>
    </row>
    <row r="139" spans="1:12" ht="57" x14ac:dyDescent="0.25">
      <c r="A139" s="164">
        <v>114</v>
      </c>
      <c r="B139" s="165">
        <v>1275</v>
      </c>
      <c r="C139" s="166" t="s">
        <v>253</v>
      </c>
      <c r="D139" s="166" t="s">
        <v>303</v>
      </c>
      <c r="E139" s="165" t="s">
        <v>189</v>
      </c>
      <c r="F139" s="166" t="s">
        <v>172</v>
      </c>
      <c r="G139" s="166" t="s">
        <v>173</v>
      </c>
      <c r="H139" s="167">
        <v>698702.25</v>
      </c>
      <c r="I139" s="167"/>
      <c r="J139" s="167"/>
      <c r="K139" s="167"/>
      <c r="L139" s="168">
        <f t="shared" si="4"/>
        <v>698702.25</v>
      </c>
    </row>
    <row r="140" spans="1:12" ht="57" x14ac:dyDescent="0.25">
      <c r="A140" s="164">
        <v>115</v>
      </c>
      <c r="B140" s="165">
        <v>1276</v>
      </c>
      <c r="C140" s="166" t="s">
        <v>253</v>
      </c>
      <c r="D140" s="166" t="s">
        <v>304</v>
      </c>
      <c r="E140" s="165" t="s">
        <v>189</v>
      </c>
      <c r="F140" s="166" t="s">
        <v>172</v>
      </c>
      <c r="G140" s="166" t="s">
        <v>173</v>
      </c>
      <c r="H140" s="167">
        <v>5314759.333333333</v>
      </c>
      <c r="I140" s="167"/>
      <c r="J140" s="167"/>
      <c r="K140" s="167"/>
      <c r="L140" s="168">
        <f t="shared" si="4"/>
        <v>5314759.333333333</v>
      </c>
    </row>
    <row r="141" spans="1:12" ht="57" x14ac:dyDescent="0.25">
      <c r="A141" s="159">
        <v>116</v>
      </c>
      <c r="B141" s="165">
        <v>1277</v>
      </c>
      <c r="C141" s="166" t="s">
        <v>253</v>
      </c>
      <c r="D141" s="166" t="s">
        <v>305</v>
      </c>
      <c r="E141" s="165" t="s">
        <v>189</v>
      </c>
      <c r="F141" s="166" t="s">
        <v>172</v>
      </c>
      <c r="G141" s="166" t="s">
        <v>173</v>
      </c>
      <c r="H141" s="167">
        <v>37438788.689999998</v>
      </c>
      <c r="I141" s="167"/>
      <c r="J141" s="167"/>
      <c r="K141" s="167"/>
      <c r="L141" s="168">
        <f t="shared" si="4"/>
        <v>37438788.689999998</v>
      </c>
    </row>
    <row r="142" spans="1:12" ht="57" x14ac:dyDescent="0.25">
      <c r="A142" s="164">
        <v>117</v>
      </c>
      <c r="B142" s="165">
        <v>1279</v>
      </c>
      <c r="C142" s="166" t="s">
        <v>253</v>
      </c>
      <c r="D142" s="166" t="s">
        <v>306</v>
      </c>
      <c r="E142" s="165" t="s">
        <v>189</v>
      </c>
      <c r="F142" s="166" t="s">
        <v>172</v>
      </c>
      <c r="G142" s="166" t="s">
        <v>173</v>
      </c>
      <c r="H142" s="167">
        <v>517828.48</v>
      </c>
      <c r="I142" s="167"/>
      <c r="J142" s="167"/>
      <c r="K142" s="167"/>
      <c r="L142" s="168">
        <f t="shared" si="4"/>
        <v>517828.48</v>
      </c>
    </row>
    <row r="143" spans="1:12" ht="57" x14ac:dyDescent="0.25">
      <c r="A143" s="164">
        <v>118</v>
      </c>
      <c r="B143" s="165">
        <v>1280</v>
      </c>
      <c r="C143" s="166" t="s">
        <v>253</v>
      </c>
      <c r="D143" s="166" t="s">
        <v>307</v>
      </c>
      <c r="E143" s="165" t="s">
        <v>189</v>
      </c>
      <c r="F143" s="166" t="s">
        <v>172</v>
      </c>
      <c r="G143" s="166" t="s">
        <v>173</v>
      </c>
      <c r="H143" s="167">
        <v>1661296.8</v>
      </c>
      <c r="I143" s="172"/>
      <c r="J143" s="167"/>
      <c r="K143" s="167"/>
      <c r="L143" s="168">
        <f t="shared" si="4"/>
        <v>1661296.8</v>
      </c>
    </row>
    <row r="144" spans="1:12" ht="71.25" x14ac:dyDescent="0.25">
      <c r="A144" s="164">
        <v>119</v>
      </c>
      <c r="B144" s="165">
        <v>1281</v>
      </c>
      <c r="C144" s="166" t="s">
        <v>253</v>
      </c>
      <c r="D144" s="166" t="s">
        <v>308</v>
      </c>
      <c r="E144" s="165" t="s">
        <v>189</v>
      </c>
      <c r="F144" s="166" t="s">
        <v>172</v>
      </c>
      <c r="G144" s="166" t="s">
        <v>173</v>
      </c>
      <c r="H144" s="167">
        <v>1402411.86</v>
      </c>
      <c r="I144" s="167"/>
      <c r="J144" s="167"/>
      <c r="K144" s="167"/>
      <c r="L144" s="168">
        <f t="shared" si="4"/>
        <v>1402411.86</v>
      </c>
    </row>
    <row r="145" spans="1:12" ht="57" x14ac:dyDescent="0.25">
      <c r="A145" s="164">
        <v>120</v>
      </c>
      <c r="B145" s="165">
        <v>1282</v>
      </c>
      <c r="C145" s="166" t="s">
        <v>253</v>
      </c>
      <c r="D145" s="166" t="s">
        <v>309</v>
      </c>
      <c r="E145" s="165" t="s">
        <v>189</v>
      </c>
      <c r="F145" s="166" t="s">
        <v>172</v>
      </c>
      <c r="G145" s="166" t="s">
        <v>173</v>
      </c>
      <c r="H145" s="167">
        <v>210750</v>
      </c>
      <c r="I145" s="167"/>
      <c r="J145" s="167"/>
      <c r="K145" s="167"/>
      <c r="L145" s="168">
        <f t="shared" si="4"/>
        <v>210750</v>
      </c>
    </row>
    <row r="146" spans="1:12" ht="71.25" x14ac:dyDescent="0.25">
      <c r="A146" s="159">
        <v>121</v>
      </c>
      <c r="B146" s="165">
        <v>1283</v>
      </c>
      <c r="C146" s="166" t="s">
        <v>253</v>
      </c>
      <c r="D146" s="166" t="s">
        <v>310</v>
      </c>
      <c r="E146" s="165" t="s">
        <v>189</v>
      </c>
      <c r="F146" s="166" t="s">
        <v>172</v>
      </c>
      <c r="G146" s="166" t="s">
        <v>173</v>
      </c>
      <c r="H146" s="167">
        <v>2920000</v>
      </c>
      <c r="I146" s="167"/>
      <c r="J146" s="167"/>
      <c r="K146" s="167"/>
      <c r="L146" s="168">
        <f t="shared" si="4"/>
        <v>2920000</v>
      </c>
    </row>
    <row r="147" spans="1:12" ht="57" x14ac:dyDescent="0.25">
      <c r="A147" s="164">
        <v>122</v>
      </c>
      <c r="B147" s="165">
        <v>1284</v>
      </c>
      <c r="C147" s="166" t="s">
        <v>253</v>
      </c>
      <c r="D147" s="166" t="s">
        <v>311</v>
      </c>
      <c r="E147" s="165" t="s">
        <v>189</v>
      </c>
      <c r="F147" s="166" t="s">
        <v>172</v>
      </c>
      <c r="G147" s="166" t="s">
        <v>173</v>
      </c>
      <c r="H147" s="167">
        <v>150000</v>
      </c>
      <c r="I147" s="167"/>
      <c r="J147" s="167"/>
      <c r="K147" s="167"/>
      <c r="L147" s="168">
        <f t="shared" si="4"/>
        <v>150000</v>
      </c>
    </row>
    <row r="148" spans="1:12" ht="57" x14ac:dyDescent="0.25">
      <c r="A148" s="164">
        <v>123</v>
      </c>
      <c r="B148" s="165">
        <v>1413</v>
      </c>
      <c r="C148" s="166" t="s">
        <v>253</v>
      </c>
      <c r="D148" s="166" t="s">
        <v>312</v>
      </c>
      <c r="E148" s="165" t="s">
        <v>189</v>
      </c>
      <c r="F148" s="166" t="s">
        <v>172</v>
      </c>
      <c r="G148" s="166" t="s">
        <v>173</v>
      </c>
      <c r="H148" s="167">
        <v>170000</v>
      </c>
      <c r="I148" s="167"/>
      <c r="J148" s="167"/>
      <c r="K148" s="167"/>
      <c r="L148" s="168">
        <f t="shared" si="4"/>
        <v>170000</v>
      </c>
    </row>
    <row r="149" spans="1:12" ht="71.25" x14ac:dyDescent="0.25">
      <c r="A149" s="164">
        <v>124</v>
      </c>
      <c r="B149" s="165">
        <v>1414</v>
      </c>
      <c r="C149" s="166" t="s">
        <v>253</v>
      </c>
      <c r="D149" s="166" t="s">
        <v>313</v>
      </c>
      <c r="E149" s="165" t="s">
        <v>189</v>
      </c>
      <c r="F149" s="166" t="s">
        <v>172</v>
      </c>
      <c r="G149" s="166" t="s">
        <v>173</v>
      </c>
      <c r="H149" s="170">
        <v>1017528.92</v>
      </c>
      <c r="I149" s="167"/>
      <c r="J149" s="167"/>
      <c r="K149" s="167"/>
      <c r="L149" s="168">
        <f t="shared" si="4"/>
        <v>1017528.92</v>
      </c>
    </row>
    <row r="150" spans="1:12" ht="28.5" x14ac:dyDescent="0.25">
      <c r="A150" s="164">
        <v>125</v>
      </c>
      <c r="B150" s="165">
        <v>1540</v>
      </c>
      <c r="C150" s="166" t="s">
        <v>253</v>
      </c>
      <c r="D150" s="166" t="s">
        <v>314</v>
      </c>
      <c r="E150" s="165" t="s">
        <v>189</v>
      </c>
      <c r="F150" s="165" t="s">
        <v>172</v>
      </c>
      <c r="G150" s="173" t="s">
        <v>173</v>
      </c>
      <c r="H150" s="170">
        <v>2656549.23</v>
      </c>
      <c r="I150" s="171"/>
      <c r="J150" s="171"/>
      <c r="K150" s="171"/>
      <c r="L150" s="168">
        <f t="shared" si="4"/>
        <v>2656549.23</v>
      </c>
    </row>
    <row r="151" spans="1:12" ht="28.5" x14ac:dyDescent="0.25">
      <c r="A151" s="159">
        <v>126</v>
      </c>
      <c r="B151" s="165">
        <v>1541</v>
      </c>
      <c r="C151" s="166" t="s">
        <v>253</v>
      </c>
      <c r="D151" s="166" t="s">
        <v>315</v>
      </c>
      <c r="E151" s="165" t="s">
        <v>171</v>
      </c>
      <c r="F151" s="165" t="s">
        <v>172</v>
      </c>
      <c r="G151" s="173" t="s">
        <v>173</v>
      </c>
      <c r="H151" s="170">
        <v>269535</v>
      </c>
      <c r="I151" s="171"/>
      <c r="J151" s="171"/>
      <c r="K151" s="171"/>
      <c r="L151" s="168">
        <f t="shared" si="4"/>
        <v>269535</v>
      </c>
    </row>
    <row r="152" spans="1:12" ht="71.25" x14ac:dyDescent="0.25">
      <c r="A152" s="164">
        <v>127</v>
      </c>
      <c r="B152" s="165">
        <v>533</v>
      </c>
      <c r="C152" s="166" t="s">
        <v>316</v>
      </c>
      <c r="D152" s="166" t="s">
        <v>317</v>
      </c>
      <c r="E152" s="165" t="s">
        <v>171</v>
      </c>
      <c r="F152" s="166" t="s">
        <v>172</v>
      </c>
      <c r="G152" s="166" t="s">
        <v>173</v>
      </c>
      <c r="H152" s="167"/>
      <c r="I152" s="167">
        <v>499999.99999999988</v>
      </c>
      <c r="J152" s="167"/>
      <c r="K152" s="167"/>
      <c r="L152" s="168">
        <f t="shared" si="4"/>
        <v>499999.99999999988</v>
      </c>
    </row>
    <row r="153" spans="1:12" ht="28.5" x14ac:dyDescent="0.25">
      <c r="A153" s="164">
        <v>128</v>
      </c>
      <c r="B153" s="165">
        <v>534</v>
      </c>
      <c r="C153" s="166" t="s">
        <v>316</v>
      </c>
      <c r="D153" s="166" t="s">
        <v>318</v>
      </c>
      <c r="E153" s="165" t="s">
        <v>171</v>
      </c>
      <c r="F153" s="166" t="s">
        <v>172</v>
      </c>
      <c r="G153" s="166" t="s">
        <v>173</v>
      </c>
      <c r="H153" s="167"/>
      <c r="I153" s="167">
        <v>99999.999999999971</v>
      </c>
      <c r="J153" s="167"/>
      <c r="K153" s="167"/>
      <c r="L153" s="168">
        <f t="shared" si="4"/>
        <v>99999.999999999971</v>
      </c>
    </row>
    <row r="154" spans="1:12" ht="28.5" x14ac:dyDescent="0.25">
      <c r="A154" s="164">
        <v>129</v>
      </c>
      <c r="B154" s="165">
        <v>536</v>
      </c>
      <c r="C154" s="166" t="s">
        <v>316</v>
      </c>
      <c r="D154" s="166" t="s">
        <v>319</v>
      </c>
      <c r="E154" s="165" t="s">
        <v>171</v>
      </c>
      <c r="F154" s="166" t="s">
        <v>172</v>
      </c>
      <c r="G154" s="166" t="s">
        <v>173</v>
      </c>
      <c r="H154" s="167"/>
      <c r="I154" s="167">
        <v>49999.999999999993</v>
      </c>
      <c r="J154" s="167"/>
      <c r="K154" s="167"/>
      <c r="L154" s="168">
        <f t="shared" ref="L154:L217" si="5">SUM(H154:K154)</f>
        <v>49999.999999999993</v>
      </c>
    </row>
    <row r="155" spans="1:12" ht="28.5" x14ac:dyDescent="0.25">
      <c r="A155" s="164">
        <v>130</v>
      </c>
      <c r="B155" s="165">
        <v>95</v>
      </c>
      <c r="C155" s="166" t="s">
        <v>320</v>
      </c>
      <c r="D155" s="166" t="s">
        <v>321</v>
      </c>
      <c r="E155" s="165" t="s">
        <v>171</v>
      </c>
      <c r="F155" s="166" t="s">
        <v>172</v>
      </c>
      <c r="G155" s="166" t="s">
        <v>173</v>
      </c>
      <c r="H155" s="167">
        <v>2379266.85</v>
      </c>
      <c r="I155" s="167"/>
      <c r="J155" s="167"/>
      <c r="K155" s="167"/>
      <c r="L155" s="168">
        <f t="shared" si="5"/>
        <v>2379266.85</v>
      </c>
    </row>
    <row r="156" spans="1:12" ht="28.5" x14ac:dyDescent="0.25">
      <c r="A156" s="159">
        <v>131</v>
      </c>
      <c r="B156" s="165">
        <v>96</v>
      </c>
      <c r="C156" s="166" t="s">
        <v>320</v>
      </c>
      <c r="D156" s="166" t="s">
        <v>322</v>
      </c>
      <c r="E156" s="165" t="s">
        <v>171</v>
      </c>
      <c r="F156" s="166" t="s">
        <v>178</v>
      </c>
      <c r="G156" s="166" t="s">
        <v>173</v>
      </c>
      <c r="H156" s="167">
        <v>639000</v>
      </c>
      <c r="I156" s="167"/>
      <c r="J156" s="167"/>
      <c r="K156" s="167"/>
      <c r="L156" s="168">
        <f t="shared" si="5"/>
        <v>639000</v>
      </c>
    </row>
    <row r="157" spans="1:12" ht="28.5" x14ac:dyDescent="0.25">
      <c r="A157" s="164">
        <v>132</v>
      </c>
      <c r="B157" s="165">
        <v>96</v>
      </c>
      <c r="C157" s="166" t="s">
        <v>320</v>
      </c>
      <c r="D157" s="166" t="s">
        <v>322</v>
      </c>
      <c r="E157" s="165" t="s">
        <v>171</v>
      </c>
      <c r="F157" s="166" t="s">
        <v>172</v>
      </c>
      <c r="G157" s="166" t="s">
        <v>173</v>
      </c>
      <c r="H157" s="167"/>
      <c r="I157" s="167">
        <v>6390000</v>
      </c>
      <c r="J157" s="167">
        <v>13845000</v>
      </c>
      <c r="K157" s="167">
        <v>1065000</v>
      </c>
      <c r="L157" s="168">
        <f t="shared" si="5"/>
        <v>21300000</v>
      </c>
    </row>
    <row r="158" spans="1:12" ht="28.5" x14ac:dyDescent="0.25">
      <c r="A158" s="164">
        <v>133</v>
      </c>
      <c r="B158" s="165">
        <v>1290</v>
      </c>
      <c r="C158" s="166" t="s">
        <v>320</v>
      </c>
      <c r="D158" s="166" t="s">
        <v>323</v>
      </c>
      <c r="E158" s="165" t="s">
        <v>171</v>
      </c>
      <c r="F158" s="166" t="s">
        <v>172</v>
      </c>
      <c r="G158" s="166" t="s">
        <v>173</v>
      </c>
      <c r="H158" s="167"/>
      <c r="I158" s="167">
        <v>611834.27</v>
      </c>
      <c r="J158" s="167"/>
      <c r="K158" s="167"/>
      <c r="L158" s="168">
        <f t="shared" si="5"/>
        <v>611834.27</v>
      </c>
    </row>
    <row r="159" spans="1:12" ht="28.5" x14ac:dyDescent="0.25">
      <c r="A159" s="164">
        <v>134</v>
      </c>
      <c r="B159" s="165">
        <v>97</v>
      </c>
      <c r="C159" s="166" t="s">
        <v>320</v>
      </c>
      <c r="D159" s="166" t="s">
        <v>324</v>
      </c>
      <c r="E159" s="165" t="s">
        <v>189</v>
      </c>
      <c r="F159" s="166" t="s">
        <v>172</v>
      </c>
      <c r="G159" s="166" t="s">
        <v>173</v>
      </c>
      <c r="H159" s="167"/>
      <c r="I159" s="167">
        <v>17500000</v>
      </c>
      <c r="J159" s="167">
        <v>17500000</v>
      </c>
      <c r="K159" s="167"/>
      <c r="L159" s="168">
        <f t="shared" si="5"/>
        <v>35000000</v>
      </c>
    </row>
    <row r="160" spans="1:12" ht="28.5" x14ac:dyDescent="0.25">
      <c r="A160" s="164">
        <v>135</v>
      </c>
      <c r="B160" s="165">
        <v>99</v>
      </c>
      <c r="C160" s="166" t="s">
        <v>325</v>
      </c>
      <c r="D160" s="166" t="s">
        <v>326</v>
      </c>
      <c r="E160" s="165" t="s">
        <v>171</v>
      </c>
      <c r="F160" s="166" t="s">
        <v>178</v>
      </c>
      <c r="G160" s="166" t="s">
        <v>173</v>
      </c>
      <c r="H160" s="167"/>
      <c r="I160" s="167">
        <v>400000</v>
      </c>
      <c r="J160" s="167"/>
      <c r="K160" s="167"/>
      <c r="L160" s="168">
        <f t="shared" si="5"/>
        <v>400000</v>
      </c>
    </row>
    <row r="161" spans="1:12" ht="28.5" x14ac:dyDescent="0.25">
      <c r="A161" s="159">
        <v>136</v>
      </c>
      <c r="B161" s="165">
        <v>99</v>
      </c>
      <c r="C161" s="166" t="s">
        <v>325</v>
      </c>
      <c r="D161" s="166" t="s">
        <v>326</v>
      </c>
      <c r="E161" s="165" t="s">
        <v>171</v>
      </c>
      <c r="F161" s="166" t="s">
        <v>172</v>
      </c>
      <c r="G161" s="166" t="s">
        <v>173</v>
      </c>
      <c r="H161" s="167"/>
      <c r="I161" s="167"/>
      <c r="J161" s="167">
        <v>1338750</v>
      </c>
      <c r="K161" s="167">
        <v>1338750</v>
      </c>
      <c r="L161" s="168">
        <f t="shared" si="5"/>
        <v>2677500</v>
      </c>
    </row>
    <row r="162" spans="1:12" ht="28.5" x14ac:dyDescent="0.25">
      <c r="A162" s="164">
        <v>137</v>
      </c>
      <c r="B162" s="165">
        <v>847</v>
      </c>
      <c r="C162" s="166" t="s">
        <v>325</v>
      </c>
      <c r="D162" s="166" t="s">
        <v>327</v>
      </c>
      <c r="E162" s="165" t="s">
        <v>171</v>
      </c>
      <c r="F162" s="166" t="s">
        <v>172</v>
      </c>
      <c r="G162" s="166" t="s">
        <v>173</v>
      </c>
      <c r="H162" s="171"/>
      <c r="I162" s="167">
        <v>1200000</v>
      </c>
      <c r="J162" s="167"/>
      <c r="K162" s="167"/>
      <c r="L162" s="168">
        <f t="shared" si="5"/>
        <v>1200000</v>
      </c>
    </row>
    <row r="163" spans="1:12" ht="28.5" x14ac:dyDescent="0.25">
      <c r="A163" s="164">
        <v>138</v>
      </c>
      <c r="B163" s="165">
        <v>185</v>
      </c>
      <c r="C163" s="166" t="s">
        <v>328</v>
      </c>
      <c r="D163" s="166" t="s">
        <v>329</v>
      </c>
      <c r="E163" s="165" t="s">
        <v>171</v>
      </c>
      <c r="F163" s="166" t="s">
        <v>178</v>
      </c>
      <c r="G163" s="166" t="s">
        <v>173</v>
      </c>
      <c r="H163" s="167">
        <v>800000</v>
      </c>
      <c r="I163" s="167"/>
      <c r="J163" s="167"/>
      <c r="K163" s="167"/>
      <c r="L163" s="168">
        <f t="shared" si="5"/>
        <v>800000</v>
      </c>
    </row>
    <row r="164" spans="1:12" ht="28.5" x14ac:dyDescent="0.25">
      <c r="A164" s="164">
        <v>139</v>
      </c>
      <c r="B164" s="165">
        <v>1058</v>
      </c>
      <c r="C164" s="166" t="s">
        <v>328</v>
      </c>
      <c r="D164" s="166" t="s">
        <v>330</v>
      </c>
      <c r="E164" s="165" t="s">
        <v>171</v>
      </c>
      <c r="F164" s="166" t="s">
        <v>172</v>
      </c>
      <c r="G164" s="166" t="s">
        <v>173</v>
      </c>
      <c r="H164" s="167"/>
      <c r="I164" s="167"/>
      <c r="J164" s="167">
        <v>3025500</v>
      </c>
      <c r="K164" s="167">
        <v>4034000</v>
      </c>
      <c r="L164" s="168">
        <f t="shared" si="5"/>
        <v>7059500</v>
      </c>
    </row>
    <row r="165" spans="1:12" ht="28.5" x14ac:dyDescent="0.25">
      <c r="A165" s="164">
        <v>140</v>
      </c>
      <c r="B165" s="165">
        <v>100</v>
      </c>
      <c r="C165" s="166" t="s">
        <v>328</v>
      </c>
      <c r="D165" s="166" t="s">
        <v>216</v>
      </c>
      <c r="E165" s="165" t="s">
        <v>189</v>
      </c>
      <c r="F165" s="166" t="s">
        <v>178</v>
      </c>
      <c r="G165" s="166" t="s">
        <v>173</v>
      </c>
      <c r="H165" s="167"/>
      <c r="I165" s="167"/>
      <c r="J165" s="167">
        <v>815347.37</v>
      </c>
      <c r="K165" s="167"/>
      <c r="L165" s="168">
        <f t="shared" si="5"/>
        <v>815347.37</v>
      </c>
    </row>
    <row r="166" spans="1:12" ht="42.75" x14ac:dyDescent="0.25">
      <c r="A166" s="159">
        <v>141</v>
      </c>
      <c r="B166" s="165">
        <v>1383</v>
      </c>
      <c r="C166" s="166" t="s">
        <v>328</v>
      </c>
      <c r="D166" s="166" t="s">
        <v>331</v>
      </c>
      <c r="E166" s="165" t="s">
        <v>189</v>
      </c>
      <c r="F166" s="166" t="s">
        <v>178</v>
      </c>
      <c r="G166" s="166" t="s">
        <v>173</v>
      </c>
      <c r="H166" s="167"/>
      <c r="I166" s="167">
        <v>120000</v>
      </c>
      <c r="J166" s="167"/>
      <c r="K166" s="167"/>
      <c r="L166" s="168">
        <f t="shared" si="5"/>
        <v>120000</v>
      </c>
    </row>
    <row r="167" spans="1:12" ht="57" x14ac:dyDescent="0.25">
      <c r="A167" s="164">
        <v>142</v>
      </c>
      <c r="B167" s="165">
        <v>1390</v>
      </c>
      <c r="C167" s="166" t="s">
        <v>328</v>
      </c>
      <c r="D167" s="166" t="s">
        <v>332</v>
      </c>
      <c r="E167" s="165" t="s">
        <v>189</v>
      </c>
      <c r="F167" s="166" t="s">
        <v>172</v>
      </c>
      <c r="G167" s="166" t="s">
        <v>173</v>
      </c>
      <c r="H167" s="167">
        <v>103000</v>
      </c>
      <c r="I167" s="167"/>
      <c r="J167" s="167"/>
      <c r="K167" s="167"/>
      <c r="L167" s="168">
        <f t="shared" si="5"/>
        <v>103000</v>
      </c>
    </row>
    <row r="168" spans="1:12" ht="28.5" x14ac:dyDescent="0.25">
      <c r="A168" s="164">
        <v>143</v>
      </c>
      <c r="B168" s="165">
        <v>774</v>
      </c>
      <c r="C168" s="166" t="s">
        <v>333</v>
      </c>
      <c r="D168" s="166" t="s">
        <v>326</v>
      </c>
      <c r="E168" s="165" t="s">
        <v>171</v>
      </c>
      <c r="F168" s="166" t="s">
        <v>172</v>
      </c>
      <c r="G168" s="166" t="s">
        <v>173</v>
      </c>
      <c r="H168" s="167"/>
      <c r="I168" s="167">
        <v>1000000</v>
      </c>
      <c r="J168" s="167"/>
      <c r="K168" s="167"/>
      <c r="L168" s="168">
        <f t="shared" si="5"/>
        <v>1000000</v>
      </c>
    </row>
    <row r="169" spans="1:12" ht="28.5" x14ac:dyDescent="0.25">
      <c r="A169" s="164">
        <v>144</v>
      </c>
      <c r="B169" s="165">
        <v>163</v>
      </c>
      <c r="C169" s="166" t="s">
        <v>334</v>
      </c>
      <c r="D169" s="166" t="s">
        <v>335</v>
      </c>
      <c r="E169" s="165" t="s">
        <v>171</v>
      </c>
      <c r="F169" s="166" t="s">
        <v>178</v>
      </c>
      <c r="G169" s="166" t="s">
        <v>336</v>
      </c>
      <c r="H169" s="167">
        <v>500000</v>
      </c>
      <c r="I169" s="167"/>
      <c r="J169" s="167"/>
      <c r="K169" s="167"/>
      <c r="L169" s="168">
        <f t="shared" si="5"/>
        <v>500000</v>
      </c>
    </row>
    <row r="170" spans="1:12" ht="28.5" x14ac:dyDescent="0.25">
      <c r="A170" s="164">
        <v>145</v>
      </c>
      <c r="B170" s="165">
        <v>163</v>
      </c>
      <c r="C170" s="166" t="s">
        <v>334</v>
      </c>
      <c r="D170" s="166" t="s">
        <v>335</v>
      </c>
      <c r="E170" s="165" t="s">
        <v>171</v>
      </c>
      <c r="F170" s="166" t="s">
        <v>172</v>
      </c>
      <c r="G170" s="166" t="s">
        <v>173</v>
      </c>
      <c r="H170" s="167"/>
      <c r="I170" s="167">
        <v>9916666.6666666679</v>
      </c>
      <c r="J170" s="167">
        <v>1983333.333333333</v>
      </c>
      <c r="K170" s="167"/>
      <c r="L170" s="168">
        <f t="shared" si="5"/>
        <v>11900000</v>
      </c>
    </row>
    <row r="171" spans="1:12" ht="28.5" x14ac:dyDescent="0.25">
      <c r="A171" s="159">
        <v>146</v>
      </c>
      <c r="B171" s="165">
        <v>1007</v>
      </c>
      <c r="C171" s="166" t="s">
        <v>334</v>
      </c>
      <c r="D171" s="166" t="s">
        <v>220</v>
      </c>
      <c r="E171" s="165" t="s">
        <v>171</v>
      </c>
      <c r="F171" s="166" t="s">
        <v>178</v>
      </c>
      <c r="G171" s="166" t="s">
        <v>173</v>
      </c>
      <c r="H171" s="167"/>
      <c r="I171" s="167">
        <v>301578.94</v>
      </c>
      <c r="J171" s="167"/>
      <c r="K171" s="167"/>
      <c r="L171" s="168">
        <f t="shared" si="5"/>
        <v>301578.94</v>
      </c>
    </row>
    <row r="172" spans="1:12" ht="28.5" x14ac:dyDescent="0.25">
      <c r="A172" s="164">
        <v>147</v>
      </c>
      <c r="B172" s="165">
        <v>1007</v>
      </c>
      <c r="C172" s="166" t="s">
        <v>334</v>
      </c>
      <c r="D172" s="166" t="s">
        <v>220</v>
      </c>
      <c r="E172" s="165" t="s">
        <v>171</v>
      </c>
      <c r="F172" s="166" t="s">
        <v>172</v>
      </c>
      <c r="G172" s="166" t="s">
        <v>173</v>
      </c>
      <c r="H172" s="167"/>
      <c r="I172" s="167"/>
      <c r="J172" s="167">
        <v>2644615.384615385</v>
      </c>
      <c r="K172" s="167">
        <v>3085384.615384615</v>
      </c>
      <c r="L172" s="168">
        <f t="shared" si="5"/>
        <v>5730000</v>
      </c>
    </row>
    <row r="173" spans="1:12" ht="57" x14ac:dyDescent="0.25">
      <c r="A173" s="164">
        <v>148</v>
      </c>
      <c r="B173" s="165">
        <v>622</v>
      </c>
      <c r="C173" s="166" t="s">
        <v>334</v>
      </c>
      <c r="D173" s="166" t="s">
        <v>337</v>
      </c>
      <c r="E173" s="165" t="s">
        <v>189</v>
      </c>
      <c r="F173" s="166" t="s">
        <v>172</v>
      </c>
      <c r="G173" s="166" t="s">
        <v>173</v>
      </c>
      <c r="H173" s="167"/>
      <c r="I173" s="167">
        <v>1719734.35</v>
      </c>
      <c r="J173" s="167">
        <v>343946.87</v>
      </c>
      <c r="K173" s="167"/>
      <c r="L173" s="168">
        <f t="shared" si="5"/>
        <v>2063681.2200000002</v>
      </c>
    </row>
    <row r="174" spans="1:12" ht="42.75" x14ac:dyDescent="0.25">
      <c r="A174" s="164">
        <v>149</v>
      </c>
      <c r="B174" s="165">
        <v>182</v>
      </c>
      <c r="C174" s="166" t="s">
        <v>338</v>
      </c>
      <c r="D174" s="166" t="s">
        <v>339</v>
      </c>
      <c r="E174" s="165" t="s">
        <v>171</v>
      </c>
      <c r="F174" s="166" t="s">
        <v>172</v>
      </c>
      <c r="G174" s="166" t="s">
        <v>173</v>
      </c>
      <c r="H174" s="167"/>
      <c r="I174" s="167">
        <v>699999.99999999988</v>
      </c>
      <c r="J174" s="167"/>
      <c r="K174" s="167"/>
      <c r="L174" s="168">
        <f t="shared" si="5"/>
        <v>699999.99999999988</v>
      </c>
    </row>
    <row r="175" spans="1:12" ht="71.25" x14ac:dyDescent="0.25">
      <c r="A175" s="164">
        <v>150</v>
      </c>
      <c r="B175" s="165">
        <v>629</v>
      </c>
      <c r="C175" s="166" t="s">
        <v>338</v>
      </c>
      <c r="D175" s="166" t="s">
        <v>340</v>
      </c>
      <c r="E175" s="165" t="s">
        <v>189</v>
      </c>
      <c r="F175" s="166" t="s">
        <v>172</v>
      </c>
      <c r="G175" s="166" t="s">
        <v>173</v>
      </c>
      <c r="H175" s="167">
        <v>199999.99999999991</v>
      </c>
      <c r="I175" s="167"/>
      <c r="J175" s="167"/>
      <c r="K175" s="167"/>
      <c r="L175" s="168">
        <f t="shared" si="5"/>
        <v>199999.99999999991</v>
      </c>
    </row>
    <row r="176" spans="1:12" ht="42.75" x14ac:dyDescent="0.25">
      <c r="A176" s="159">
        <v>151</v>
      </c>
      <c r="B176" s="165">
        <v>708</v>
      </c>
      <c r="C176" s="166" t="s">
        <v>338</v>
      </c>
      <c r="D176" s="166" t="s">
        <v>341</v>
      </c>
      <c r="E176" s="165" t="s">
        <v>189</v>
      </c>
      <c r="F176" s="166" t="s">
        <v>172</v>
      </c>
      <c r="G176" s="166" t="s">
        <v>342</v>
      </c>
      <c r="H176" s="167">
        <v>1925000</v>
      </c>
      <c r="I176" s="167"/>
      <c r="J176" s="167"/>
      <c r="K176" s="167"/>
      <c r="L176" s="168">
        <f t="shared" si="5"/>
        <v>1925000</v>
      </c>
    </row>
    <row r="177" spans="1:12" ht="28.5" x14ac:dyDescent="0.25">
      <c r="A177" s="164">
        <v>152</v>
      </c>
      <c r="B177" s="165">
        <v>1528</v>
      </c>
      <c r="C177" s="166" t="s">
        <v>343</v>
      </c>
      <c r="D177" s="173" t="s">
        <v>344</v>
      </c>
      <c r="E177" s="165" t="s">
        <v>171</v>
      </c>
      <c r="F177" s="165" t="s">
        <v>172</v>
      </c>
      <c r="G177" s="173" t="str">
        <f>G126</f>
        <v>NÃO INICIADO</v>
      </c>
      <c r="H177" s="170">
        <v>2500000</v>
      </c>
      <c r="I177" s="171"/>
      <c r="J177" s="171"/>
      <c r="K177" s="171"/>
      <c r="L177" s="168">
        <f t="shared" si="5"/>
        <v>2500000</v>
      </c>
    </row>
    <row r="178" spans="1:12" ht="28.5" x14ac:dyDescent="0.25">
      <c r="A178" s="164">
        <v>153</v>
      </c>
      <c r="B178" s="165">
        <v>658</v>
      </c>
      <c r="C178" s="166" t="s">
        <v>345</v>
      </c>
      <c r="D178" s="166" t="s">
        <v>346</v>
      </c>
      <c r="E178" s="165" t="s">
        <v>171</v>
      </c>
      <c r="F178" s="166" t="s">
        <v>172</v>
      </c>
      <c r="G178" s="166" t="s">
        <v>173</v>
      </c>
      <c r="H178" s="167"/>
      <c r="I178" s="167"/>
      <c r="J178" s="167">
        <v>66666.666666666672</v>
      </c>
      <c r="K178" s="167">
        <v>333333.33333333337</v>
      </c>
      <c r="L178" s="168">
        <f t="shared" si="5"/>
        <v>400000.00000000006</v>
      </c>
    </row>
    <row r="179" spans="1:12" ht="71.25" x14ac:dyDescent="0.25">
      <c r="A179" s="164">
        <v>154</v>
      </c>
      <c r="B179" s="165">
        <v>1353</v>
      </c>
      <c r="C179" s="166" t="s">
        <v>345</v>
      </c>
      <c r="D179" s="166" t="s">
        <v>347</v>
      </c>
      <c r="E179" s="165" t="s">
        <v>171</v>
      </c>
      <c r="F179" s="166" t="s">
        <v>172</v>
      </c>
      <c r="G179" s="166" t="s">
        <v>173</v>
      </c>
      <c r="H179" s="167">
        <v>1094275.2497350271</v>
      </c>
      <c r="I179" s="167">
        <v>4391362.2302649748</v>
      </c>
      <c r="J179" s="167"/>
      <c r="K179" s="167"/>
      <c r="L179" s="168">
        <f t="shared" si="5"/>
        <v>5485637.4800000023</v>
      </c>
    </row>
    <row r="180" spans="1:12" ht="28.5" x14ac:dyDescent="0.25">
      <c r="A180" s="164">
        <v>155</v>
      </c>
      <c r="B180" s="165">
        <v>562</v>
      </c>
      <c r="C180" s="166" t="s">
        <v>348</v>
      </c>
      <c r="D180" s="166" t="s">
        <v>349</v>
      </c>
      <c r="E180" s="165" t="s">
        <v>171</v>
      </c>
      <c r="F180" s="166" t="s">
        <v>172</v>
      </c>
      <c r="G180" s="166" t="s">
        <v>173</v>
      </c>
      <c r="H180" s="167">
        <v>600000</v>
      </c>
      <c r="I180" s="167"/>
      <c r="J180" s="167"/>
      <c r="K180" s="167"/>
      <c r="L180" s="168">
        <f t="shared" si="5"/>
        <v>600000</v>
      </c>
    </row>
    <row r="181" spans="1:12" ht="42.75" x14ac:dyDescent="0.25">
      <c r="A181" s="159">
        <v>156</v>
      </c>
      <c r="B181" s="165">
        <v>564</v>
      </c>
      <c r="C181" s="166" t="s">
        <v>348</v>
      </c>
      <c r="D181" s="166" t="s">
        <v>350</v>
      </c>
      <c r="E181" s="165" t="s">
        <v>171</v>
      </c>
      <c r="F181" s="166" t="s">
        <v>172</v>
      </c>
      <c r="G181" s="166" t="s">
        <v>173</v>
      </c>
      <c r="H181" s="167">
        <v>300000</v>
      </c>
      <c r="I181" s="167"/>
      <c r="J181" s="167"/>
      <c r="K181" s="167"/>
      <c r="L181" s="168">
        <f t="shared" si="5"/>
        <v>300000</v>
      </c>
    </row>
    <row r="182" spans="1:12" ht="28.5" x14ac:dyDescent="0.25">
      <c r="A182" s="164">
        <v>157</v>
      </c>
      <c r="B182" s="165">
        <v>978</v>
      </c>
      <c r="C182" s="166" t="s">
        <v>348</v>
      </c>
      <c r="D182" s="166" t="s">
        <v>351</v>
      </c>
      <c r="E182" s="165" t="s">
        <v>171</v>
      </c>
      <c r="F182" s="166" t="s">
        <v>178</v>
      </c>
      <c r="G182" s="166" t="s">
        <v>173</v>
      </c>
      <c r="H182" s="167"/>
      <c r="I182" s="167">
        <v>400000</v>
      </c>
      <c r="J182" s="167"/>
      <c r="K182" s="167"/>
      <c r="L182" s="168">
        <f t="shared" si="5"/>
        <v>400000</v>
      </c>
    </row>
    <row r="183" spans="1:12" ht="28.5" x14ac:dyDescent="0.25">
      <c r="A183" s="164">
        <v>158</v>
      </c>
      <c r="B183" s="165">
        <v>978</v>
      </c>
      <c r="C183" s="166" t="s">
        <v>348</v>
      </c>
      <c r="D183" s="166" t="s">
        <v>351</v>
      </c>
      <c r="E183" s="165" t="s">
        <v>171</v>
      </c>
      <c r="F183" s="166" t="s">
        <v>172</v>
      </c>
      <c r="G183" s="166" t="s">
        <v>173</v>
      </c>
      <c r="H183" s="167"/>
      <c r="I183" s="167"/>
      <c r="J183" s="167">
        <v>988235.29411764687</v>
      </c>
      <c r="K183" s="167">
        <v>211764.70588235301</v>
      </c>
      <c r="L183" s="168">
        <f t="shared" si="5"/>
        <v>1200000</v>
      </c>
    </row>
    <row r="184" spans="1:12" ht="28.5" x14ac:dyDescent="0.25">
      <c r="A184" s="164">
        <v>159</v>
      </c>
      <c r="B184" s="165">
        <v>106</v>
      </c>
      <c r="C184" s="166" t="s">
        <v>348</v>
      </c>
      <c r="D184" s="166" t="s">
        <v>352</v>
      </c>
      <c r="E184" s="165" t="s">
        <v>189</v>
      </c>
      <c r="F184" s="166" t="s">
        <v>172</v>
      </c>
      <c r="G184" s="166" t="s">
        <v>173</v>
      </c>
      <c r="H184" s="167">
        <v>353333.33333333331</v>
      </c>
      <c r="I184" s="167">
        <v>176666.66666666669</v>
      </c>
      <c r="J184" s="167"/>
      <c r="K184" s="167"/>
      <c r="L184" s="168">
        <f t="shared" si="5"/>
        <v>530000</v>
      </c>
    </row>
    <row r="185" spans="1:12" ht="42.75" x14ac:dyDescent="0.25">
      <c r="A185" s="164">
        <v>160</v>
      </c>
      <c r="B185" s="165">
        <v>563</v>
      </c>
      <c r="C185" s="166" t="s">
        <v>348</v>
      </c>
      <c r="D185" s="166" t="s">
        <v>350</v>
      </c>
      <c r="E185" s="165" t="s">
        <v>189</v>
      </c>
      <c r="F185" s="166" t="s">
        <v>172</v>
      </c>
      <c r="G185" s="166" t="s">
        <v>173</v>
      </c>
      <c r="H185" s="167">
        <v>300000</v>
      </c>
      <c r="I185" s="167"/>
      <c r="J185" s="167"/>
      <c r="K185" s="167"/>
      <c r="L185" s="168">
        <f t="shared" si="5"/>
        <v>300000</v>
      </c>
    </row>
    <row r="186" spans="1:12" x14ac:dyDescent="0.25">
      <c r="A186" s="159">
        <v>161</v>
      </c>
      <c r="B186" s="165">
        <v>975</v>
      </c>
      <c r="C186" s="166" t="s">
        <v>348</v>
      </c>
      <c r="D186" s="166" t="s">
        <v>353</v>
      </c>
      <c r="E186" s="165" t="s">
        <v>189</v>
      </c>
      <c r="F186" s="166" t="s">
        <v>178</v>
      </c>
      <c r="G186" s="166" t="s">
        <v>228</v>
      </c>
      <c r="H186" s="167">
        <v>100000</v>
      </c>
      <c r="I186" s="167"/>
      <c r="J186" s="167"/>
      <c r="K186" s="167"/>
      <c r="L186" s="168">
        <f t="shared" si="5"/>
        <v>100000</v>
      </c>
    </row>
    <row r="187" spans="1:12" ht="28.5" x14ac:dyDescent="0.25">
      <c r="A187" s="164">
        <v>162</v>
      </c>
      <c r="B187" s="165">
        <v>108</v>
      </c>
      <c r="C187" s="166" t="s">
        <v>354</v>
      </c>
      <c r="D187" s="166" t="s">
        <v>355</v>
      </c>
      <c r="E187" s="165" t="s">
        <v>171</v>
      </c>
      <c r="F187" s="166" t="s">
        <v>172</v>
      </c>
      <c r="G187" s="166" t="s">
        <v>356</v>
      </c>
      <c r="H187" s="167">
        <v>3120000</v>
      </c>
      <c r="I187" s="167"/>
      <c r="J187" s="167"/>
      <c r="K187" s="167"/>
      <c r="L187" s="168">
        <f t="shared" si="5"/>
        <v>3120000</v>
      </c>
    </row>
    <row r="188" spans="1:12" ht="85.5" x14ac:dyDescent="0.25">
      <c r="A188" s="164">
        <v>163</v>
      </c>
      <c r="B188" s="165">
        <v>1294</v>
      </c>
      <c r="C188" s="166" t="s">
        <v>354</v>
      </c>
      <c r="D188" s="166" t="s">
        <v>357</v>
      </c>
      <c r="E188" s="165" t="s">
        <v>171</v>
      </c>
      <c r="F188" s="166" t="s">
        <v>172</v>
      </c>
      <c r="G188" s="166" t="s">
        <v>173</v>
      </c>
      <c r="H188" s="170">
        <v>732058.19</v>
      </c>
      <c r="I188" s="167">
        <v>250000</v>
      </c>
      <c r="J188" s="167"/>
      <c r="K188" s="167"/>
      <c r="L188" s="168">
        <f t="shared" si="5"/>
        <v>982058.19</v>
      </c>
    </row>
    <row r="189" spans="1:12" ht="71.25" x14ac:dyDescent="0.25">
      <c r="A189" s="164">
        <v>164</v>
      </c>
      <c r="B189" s="165">
        <v>1311</v>
      </c>
      <c r="C189" s="166" t="s">
        <v>354</v>
      </c>
      <c r="D189" s="166" t="s">
        <v>358</v>
      </c>
      <c r="E189" s="165" t="s">
        <v>171</v>
      </c>
      <c r="F189" s="166" t="s">
        <v>172</v>
      </c>
      <c r="G189" s="166" t="s">
        <v>173</v>
      </c>
      <c r="H189" s="167">
        <v>412930.79100000003</v>
      </c>
      <c r="I189" s="167"/>
      <c r="J189" s="167"/>
      <c r="K189" s="167"/>
      <c r="L189" s="168">
        <f t="shared" si="5"/>
        <v>412930.79100000003</v>
      </c>
    </row>
    <row r="190" spans="1:12" ht="99.75" x14ac:dyDescent="0.25">
      <c r="A190" s="164">
        <v>165</v>
      </c>
      <c r="B190" s="165">
        <v>1335</v>
      </c>
      <c r="C190" s="166" t="s">
        <v>354</v>
      </c>
      <c r="D190" s="166" t="s">
        <v>359</v>
      </c>
      <c r="E190" s="165" t="s">
        <v>171</v>
      </c>
      <c r="F190" s="166" t="s">
        <v>172</v>
      </c>
      <c r="G190" s="166" t="s">
        <v>173</v>
      </c>
      <c r="H190" s="167">
        <v>256410.25641025641</v>
      </c>
      <c r="I190" s="167">
        <v>4871794.871794872</v>
      </c>
      <c r="J190" s="167">
        <v>4358974.358974359</v>
      </c>
      <c r="K190" s="167">
        <v>512820.51282051281</v>
      </c>
      <c r="L190" s="168">
        <f t="shared" si="5"/>
        <v>10000000</v>
      </c>
    </row>
    <row r="191" spans="1:12" ht="57" x14ac:dyDescent="0.25">
      <c r="A191" s="159">
        <v>166</v>
      </c>
      <c r="B191" s="165">
        <v>1336</v>
      </c>
      <c r="C191" s="166" t="s">
        <v>354</v>
      </c>
      <c r="D191" s="166" t="s">
        <v>360</v>
      </c>
      <c r="E191" s="165" t="s">
        <v>171</v>
      </c>
      <c r="F191" s="166" t="s">
        <v>172</v>
      </c>
      <c r="G191" s="166" t="s">
        <v>173</v>
      </c>
      <c r="H191" s="167"/>
      <c r="I191" s="167">
        <v>8749999.9999999981</v>
      </c>
      <c r="J191" s="167">
        <v>5250000</v>
      </c>
      <c r="K191" s="167"/>
      <c r="L191" s="168">
        <f t="shared" si="5"/>
        <v>13999999.999999998</v>
      </c>
    </row>
    <row r="192" spans="1:12" ht="57" x14ac:dyDescent="0.25">
      <c r="A192" s="164">
        <v>167</v>
      </c>
      <c r="B192" s="165">
        <v>1337</v>
      </c>
      <c r="C192" s="166" t="s">
        <v>354</v>
      </c>
      <c r="D192" s="166" t="s">
        <v>361</v>
      </c>
      <c r="E192" s="165" t="s">
        <v>171</v>
      </c>
      <c r="F192" s="166" t="s">
        <v>172</v>
      </c>
      <c r="G192" s="166" t="s">
        <v>173</v>
      </c>
      <c r="H192" s="167"/>
      <c r="I192" s="167"/>
      <c r="J192" s="167">
        <v>4500000</v>
      </c>
      <c r="K192" s="167">
        <v>18000000</v>
      </c>
      <c r="L192" s="168">
        <f t="shared" si="5"/>
        <v>22500000</v>
      </c>
    </row>
    <row r="193" spans="1:12" ht="42.75" x14ac:dyDescent="0.25">
      <c r="A193" s="164">
        <v>168</v>
      </c>
      <c r="B193" s="165">
        <v>156</v>
      </c>
      <c r="C193" s="166" t="s">
        <v>362</v>
      </c>
      <c r="D193" s="166" t="s">
        <v>363</v>
      </c>
      <c r="E193" s="165" t="s">
        <v>171</v>
      </c>
      <c r="F193" s="166" t="s">
        <v>178</v>
      </c>
      <c r="G193" s="166" t="s">
        <v>336</v>
      </c>
      <c r="H193" s="167">
        <v>500000</v>
      </c>
      <c r="I193" s="167"/>
      <c r="J193" s="167"/>
      <c r="K193" s="167"/>
      <c r="L193" s="168">
        <f t="shared" si="5"/>
        <v>500000</v>
      </c>
    </row>
    <row r="194" spans="1:12" ht="42.75" x14ac:dyDescent="0.25">
      <c r="A194" s="164">
        <v>169</v>
      </c>
      <c r="B194" s="165">
        <v>156</v>
      </c>
      <c r="C194" s="166" t="s">
        <v>362</v>
      </c>
      <c r="D194" s="166" t="s">
        <v>363</v>
      </c>
      <c r="E194" s="165" t="s">
        <v>171</v>
      </c>
      <c r="F194" s="166" t="s">
        <v>172</v>
      </c>
      <c r="G194" s="166" t="s">
        <v>173</v>
      </c>
      <c r="H194" s="167"/>
      <c r="I194" s="167">
        <v>3912418.6333333328</v>
      </c>
      <c r="J194" s="167">
        <v>1956209.3166666669</v>
      </c>
      <c r="K194" s="167"/>
      <c r="L194" s="168">
        <f t="shared" si="5"/>
        <v>5868627.9499999993</v>
      </c>
    </row>
    <row r="195" spans="1:12" ht="142.5" x14ac:dyDescent="0.25">
      <c r="A195" s="164">
        <v>170</v>
      </c>
      <c r="B195" s="165">
        <v>112</v>
      </c>
      <c r="C195" s="166" t="s">
        <v>362</v>
      </c>
      <c r="D195" s="166" t="s">
        <v>364</v>
      </c>
      <c r="E195" s="165" t="s">
        <v>189</v>
      </c>
      <c r="F195" s="166" t="s">
        <v>172</v>
      </c>
      <c r="G195" s="166" t="s">
        <v>173</v>
      </c>
      <c r="H195" s="167">
        <v>1575000</v>
      </c>
      <c r="I195" s="167">
        <v>5512500</v>
      </c>
      <c r="J195" s="167">
        <v>1575000</v>
      </c>
      <c r="K195" s="167"/>
      <c r="L195" s="168">
        <f t="shared" si="5"/>
        <v>8662500</v>
      </c>
    </row>
    <row r="196" spans="1:12" ht="57" x14ac:dyDescent="0.25">
      <c r="A196" s="159">
        <v>171</v>
      </c>
      <c r="B196" s="165">
        <v>752</v>
      </c>
      <c r="C196" s="166" t="s">
        <v>362</v>
      </c>
      <c r="D196" s="166" t="s">
        <v>365</v>
      </c>
      <c r="E196" s="165" t="s">
        <v>189</v>
      </c>
      <c r="F196" s="166" t="s">
        <v>172</v>
      </c>
      <c r="G196" s="166" t="s">
        <v>173</v>
      </c>
      <c r="H196" s="167">
        <v>262499.99999999988</v>
      </c>
      <c r="I196" s="167"/>
      <c r="J196" s="167"/>
      <c r="K196" s="167"/>
      <c r="L196" s="168">
        <f t="shared" si="5"/>
        <v>262499.99999999988</v>
      </c>
    </row>
    <row r="197" spans="1:12" ht="57" x14ac:dyDescent="0.25">
      <c r="A197" s="164">
        <v>172</v>
      </c>
      <c r="B197" s="165">
        <v>759</v>
      </c>
      <c r="C197" s="166" t="s">
        <v>362</v>
      </c>
      <c r="D197" s="166" t="s">
        <v>366</v>
      </c>
      <c r="E197" s="165" t="s">
        <v>189</v>
      </c>
      <c r="F197" s="166" t="s">
        <v>172</v>
      </c>
      <c r="G197" s="166" t="s">
        <v>173</v>
      </c>
      <c r="H197" s="167">
        <v>112500</v>
      </c>
      <c r="I197" s="167">
        <v>37500</v>
      </c>
      <c r="J197" s="167"/>
      <c r="K197" s="167"/>
      <c r="L197" s="168">
        <f t="shared" si="5"/>
        <v>150000</v>
      </c>
    </row>
    <row r="198" spans="1:12" ht="28.5" x14ac:dyDescent="0.25">
      <c r="A198" s="164">
        <v>173</v>
      </c>
      <c r="B198" s="165">
        <v>960</v>
      </c>
      <c r="C198" s="166" t="s">
        <v>362</v>
      </c>
      <c r="D198" s="166" t="s">
        <v>367</v>
      </c>
      <c r="E198" s="165" t="s">
        <v>189</v>
      </c>
      <c r="F198" s="166" t="s">
        <v>172</v>
      </c>
      <c r="G198" s="166" t="s">
        <v>173</v>
      </c>
      <c r="H198" s="167">
        <v>262499.99999999988</v>
      </c>
      <c r="I198" s="167"/>
      <c r="J198" s="167"/>
      <c r="K198" s="167"/>
      <c r="L198" s="168">
        <f t="shared" si="5"/>
        <v>262499.99999999988</v>
      </c>
    </row>
    <row r="199" spans="1:12" ht="28.5" x14ac:dyDescent="0.25">
      <c r="A199" s="164">
        <v>174</v>
      </c>
      <c r="B199" s="165">
        <v>961</v>
      </c>
      <c r="C199" s="166" t="s">
        <v>362</v>
      </c>
      <c r="D199" s="166" t="s">
        <v>368</v>
      </c>
      <c r="E199" s="165" t="s">
        <v>189</v>
      </c>
      <c r="F199" s="166" t="s">
        <v>172</v>
      </c>
      <c r="G199" s="166" t="s">
        <v>173</v>
      </c>
      <c r="H199" s="167">
        <v>206249.99999999991</v>
      </c>
      <c r="I199" s="167"/>
      <c r="J199" s="167"/>
      <c r="K199" s="167"/>
      <c r="L199" s="168">
        <f t="shared" si="5"/>
        <v>206249.99999999991</v>
      </c>
    </row>
    <row r="200" spans="1:12" ht="28.5" x14ac:dyDescent="0.25">
      <c r="A200" s="164">
        <v>175</v>
      </c>
      <c r="B200" s="165">
        <v>113</v>
      </c>
      <c r="C200" s="166" t="s">
        <v>369</v>
      </c>
      <c r="D200" s="166" t="s">
        <v>227</v>
      </c>
      <c r="E200" s="165" t="s">
        <v>171</v>
      </c>
      <c r="F200" s="166" t="s">
        <v>178</v>
      </c>
      <c r="G200" s="166" t="s">
        <v>173</v>
      </c>
      <c r="H200" s="167"/>
      <c r="I200" s="167">
        <v>800000</v>
      </c>
      <c r="J200" s="167"/>
      <c r="K200" s="167"/>
      <c r="L200" s="168">
        <f t="shared" si="5"/>
        <v>800000</v>
      </c>
    </row>
    <row r="201" spans="1:12" ht="28.5" x14ac:dyDescent="0.25">
      <c r="A201" s="159">
        <v>176</v>
      </c>
      <c r="B201" s="165">
        <v>113</v>
      </c>
      <c r="C201" s="166" t="s">
        <v>369</v>
      </c>
      <c r="D201" s="166" t="s">
        <v>227</v>
      </c>
      <c r="E201" s="165" t="s">
        <v>171</v>
      </c>
      <c r="F201" s="166" t="s">
        <v>172</v>
      </c>
      <c r="G201" s="166" t="s">
        <v>173</v>
      </c>
      <c r="H201" s="167"/>
      <c r="I201" s="167"/>
      <c r="J201" s="167">
        <v>5055526.2631578948</v>
      </c>
      <c r="K201" s="167">
        <v>21907280.47368421</v>
      </c>
      <c r="L201" s="168">
        <f t="shared" si="5"/>
        <v>26962806.736842103</v>
      </c>
    </row>
    <row r="202" spans="1:12" ht="156.75" x14ac:dyDescent="0.25">
      <c r="A202" s="164">
        <v>177</v>
      </c>
      <c r="B202" s="165">
        <v>852</v>
      </c>
      <c r="C202" s="166" t="s">
        <v>369</v>
      </c>
      <c r="D202" s="166" t="s">
        <v>370</v>
      </c>
      <c r="E202" s="165" t="s">
        <v>189</v>
      </c>
      <c r="F202" s="166" t="s">
        <v>172</v>
      </c>
      <c r="G202" s="166" t="s">
        <v>173</v>
      </c>
      <c r="H202" s="167">
        <v>1600000</v>
      </c>
      <c r="I202" s="167">
        <v>6400000</v>
      </c>
      <c r="J202" s="167"/>
      <c r="K202" s="167"/>
      <c r="L202" s="168">
        <f t="shared" si="5"/>
        <v>8000000</v>
      </c>
    </row>
    <row r="203" spans="1:12" ht="28.5" x14ac:dyDescent="0.25">
      <c r="A203" s="164">
        <v>178</v>
      </c>
      <c r="B203" s="165">
        <v>115</v>
      </c>
      <c r="C203" s="166" t="s">
        <v>371</v>
      </c>
      <c r="D203" s="166" t="s">
        <v>372</v>
      </c>
      <c r="E203" s="165" t="s">
        <v>171</v>
      </c>
      <c r="F203" s="166" t="s">
        <v>178</v>
      </c>
      <c r="G203" s="166" t="s">
        <v>197</v>
      </c>
      <c r="H203" s="167">
        <v>460000</v>
      </c>
      <c r="I203" s="167"/>
      <c r="J203" s="167"/>
      <c r="K203" s="167"/>
      <c r="L203" s="168">
        <f t="shared" si="5"/>
        <v>460000</v>
      </c>
    </row>
    <row r="204" spans="1:12" ht="28.5" x14ac:dyDescent="0.25">
      <c r="A204" s="164">
        <v>179</v>
      </c>
      <c r="B204" s="165">
        <v>115</v>
      </c>
      <c r="C204" s="166" t="s">
        <v>371</v>
      </c>
      <c r="D204" s="166" t="s">
        <v>372</v>
      </c>
      <c r="E204" s="165" t="s">
        <v>171</v>
      </c>
      <c r="F204" s="166" t="s">
        <v>172</v>
      </c>
      <c r="G204" s="166" t="s">
        <v>173</v>
      </c>
      <c r="H204" s="167"/>
      <c r="I204" s="167">
        <v>1246666.666666667</v>
      </c>
      <c r="J204" s="167">
        <v>1133333.333333333</v>
      </c>
      <c r="K204" s="167"/>
      <c r="L204" s="168">
        <f t="shared" si="5"/>
        <v>2380000</v>
      </c>
    </row>
    <row r="205" spans="1:12" ht="71.25" x14ac:dyDescent="0.25">
      <c r="A205" s="164">
        <v>180</v>
      </c>
      <c r="B205" s="165">
        <v>969</v>
      </c>
      <c r="C205" s="166" t="s">
        <v>373</v>
      </c>
      <c r="D205" s="166" t="s">
        <v>374</v>
      </c>
      <c r="E205" s="165" t="s">
        <v>171</v>
      </c>
      <c r="F205" s="166" t="s">
        <v>172</v>
      </c>
      <c r="G205" s="166" t="s">
        <v>173</v>
      </c>
      <c r="H205" s="167">
        <v>374999.99999999988</v>
      </c>
      <c r="I205" s="167">
        <v>125000</v>
      </c>
      <c r="J205" s="167"/>
      <c r="K205" s="167"/>
      <c r="L205" s="168">
        <f t="shared" si="5"/>
        <v>499999.99999999988</v>
      </c>
    </row>
    <row r="206" spans="1:12" ht="42.75" x14ac:dyDescent="0.25">
      <c r="A206" s="159">
        <v>181</v>
      </c>
      <c r="B206" s="165">
        <v>158</v>
      </c>
      <c r="C206" s="166" t="s">
        <v>375</v>
      </c>
      <c r="D206" s="166" t="s">
        <v>376</v>
      </c>
      <c r="E206" s="165" t="s">
        <v>171</v>
      </c>
      <c r="F206" s="166" t="s">
        <v>172</v>
      </c>
      <c r="G206" s="166" t="s">
        <v>173</v>
      </c>
      <c r="H206" s="167">
        <v>3316136.5863999999</v>
      </c>
      <c r="I206" s="167">
        <v>452200.4436</v>
      </c>
      <c r="J206" s="167"/>
      <c r="K206" s="167"/>
      <c r="L206" s="168">
        <f t="shared" si="5"/>
        <v>3768337.03</v>
      </c>
    </row>
    <row r="207" spans="1:12" ht="57" x14ac:dyDescent="0.25">
      <c r="A207" s="164">
        <v>182</v>
      </c>
      <c r="B207" s="165">
        <v>583</v>
      </c>
      <c r="C207" s="166" t="s">
        <v>375</v>
      </c>
      <c r="D207" s="166" t="s">
        <v>377</v>
      </c>
      <c r="E207" s="165" t="s">
        <v>171</v>
      </c>
      <c r="F207" s="166" t="s">
        <v>172</v>
      </c>
      <c r="G207" s="166" t="s">
        <v>173</v>
      </c>
      <c r="H207" s="167">
        <v>131578.94736842101</v>
      </c>
      <c r="I207" s="167">
        <v>368421.05263157887</v>
      </c>
      <c r="J207" s="167"/>
      <c r="K207" s="167"/>
      <c r="L207" s="168">
        <f t="shared" si="5"/>
        <v>499999.99999999988</v>
      </c>
    </row>
    <row r="208" spans="1:12" ht="42.75" x14ac:dyDescent="0.25">
      <c r="A208" s="164">
        <v>183</v>
      </c>
      <c r="B208" s="165">
        <v>584</v>
      </c>
      <c r="C208" s="166" t="s">
        <v>375</v>
      </c>
      <c r="D208" s="166" t="s">
        <v>378</v>
      </c>
      <c r="E208" s="165" t="s">
        <v>171</v>
      </c>
      <c r="F208" s="166" t="s">
        <v>172</v>
      </c>
      <c r="G208" s="166" t="s">
        <v>173</v>
      </c>
      <c r="H208" s="167">
        <v>747019.06999999983</v>
      </c>
      <c r="I208" s="167"/>
      <c r="J208" s="167"/>
      <c r="K208" s="167"/>
      <c r="L208" s="168">
        <f t="shared" si="5"/>
        <v>747019.06999999983</v>
      </c>
    </row>
    <row r="209" spans="1:12" ht="28.5" x14ac:dyDescent="0.25">
      <c r="A209" s="164">
        <v>184</v>
      </c>
      <c r="B209" s="165">
        <v>585</v>
      </c>
      <c r="C209" s="166" t="s">
        <v>375</v>
      </c>
      <c r="D209" s="166" t="s">
        <v>379</v>
      </c>
      <c r="E209" s="165" t="s">
        <v>171</v>
      </c>
      <c r="F209" s="166" t="s">
        <v>172</v>
      </c>
      <c r="G209" s="166" t="s">
        <v>173</v>
      </c>
      <c r="H209" s="167">
        <v>600000</v>
      </c>
      <c r="I209" s="167"/>
      <c r="J209" s="167"/>
      <c r="K209" s="167"/>
      <c r="L209" s="168">
        <f t="shared" si="5"/>
        <v>600000</v>
      </c>
    </row>
    <row r="210" spans="1:12" ht="57" x14ac:dyDescent="0.25">
      <c r="A210" s="164">
        <v>185</v>
      </c>
      <c r="B210" s="165">
        <v>648</v>
      </c>
      <c r="C210" s="166" t="s">
        <v>375</v>
      </c>
      <c r="D210" s="166" t="s">
        <v>380</v>
      </c>
      <c r="E210" s="165" t="s">
        <v>189</v>
      </c>
      <c r="F210" s="166" t="s">
        <v>172</v>
      </c>
      <c r="G210" s="166" t="s">
        <v>173</v>
      </c>
      <c r="H210" s="167">
        <v>2770064.2062499998</v>
      </c>
      <c r="I210" s="167">
        <v>27700642.0625</v>
      </c>
      <c r="J210" s="167">
        <v>13850321.03125</v>
      </c>
      <c r="K210" s="167"/>
      <c r="L210" s="168">
        <f t="shared" si="5"/>
        <v>44321027.299999997</v>
      </c>
    </row>
    <row r="211" spans="1:12" ht="28.5" x14ac:dyDescent="0.25">
      <c r="A211" s="159">
        <v>186</v>
      </c>
      <c r="B211" s="165">
        <v>782</v>
      </c>
      <c r="C211" s="166" t="s">
        <v>381</v>
      </c>
      <c r="D211" s="166" t="s">
        <v>382</v>
      </c>
      <c r="E211" s="165" t="s">
        <v>171</v>
      </c>
      <c r="F211" s="166" t="s">
        <v>178</v>
      </c>
      <c r="G211" s="166" t="s">
        <v>173</v>
      </c>
      <c r="H211" s="167">
        <v>14000</v>
      </c>
      <c r="I211" s="167"/>
      <c r="J211" s="167"/>
      <c r="K211" s="167"/>
      <c r="L211" s="168">
        <f t="shared" si="5"/>
        <v>14000</v>
      </c>
    </row>
    <row r="212" spans="1:12" ht="28.5" x14ac:dyDescent="0.25">
      <c r="A212" s="164">
        <v>187</v>
      </c>
      <c r="B212" s="165">
        <v>782</v>
      </c>
      <c r="C212" s="166" t="s">
        <v>381</v>
      </c>
      <c r="D212" s="166" t="s">
        <v>382</v>
      </c>
      <c r="E212" s="165" t="s">
        <v>171</v>
      </c>
      <c r="F212" s="166" t="s">
        <v>172</v>
      </c>
      <c r="G212" s="166" t="s">
        <v>173</v>
      </c>
      <c r="H212" s="167"/>
      <c r="I212" s="167">
        <v>111000</v>
      </c>
      <c r="J212" s="167"/>
      <c r="K212" s="167"/>
      <c r="L212" s="168">
        <f t="shared" si="5"/>
        <v>111000</v>
      </c>
    </row>
    <row r="213" spans="1:12" ht="85.5" x14ac:dyDescent="0.25">
      <c r="A213" s="164">
        <v>188</v>
      </c>
      <c r="B213" s="165">
        <v>577</v>
      </c>
      <c r="C213" s="166" t="s">
        <v>383</v>
      </c>
      <c r="D213" s="166" t="s">
        <v>384</v>
      </c>
      <c r="E213" s="165" t="s">
        <v>171</v>
      </c>
      <c r="F213" s="166" t="s">
        <v>172</v>
      </c>
      <c r="G213" s="166" t="s">
        <v>173</v>
      </c>
      <c r="H213" s="167"/>
      <c r="I213" s="167"/>
      <c r="J213" s="167"/>
      <c r="K213" s="167">
        <v>519235.46052631579</v>
      </c>
      <c r="L213" s="168">
        <f t="shared" si="5"/>
        <v>519235.46052631579</v>
      </c>
    </row>
    <row r="214" spans="1:12" ht="28.5" x14ac:dyDescent="0.25">
      <c r="A214" s="164">
        <v>189</v>
      </c>
      <c r="B214" s="165">
        <v>127</v>
      </c>
      <c r="C214" s="166" t="s">
        <v>383</v>
      </c>
      <c r="D214" s="166" t="s">
        <v>385</v>
      </c>
      <c r="E214" s="165" t="s">
        <v>189</v>
      </c>
      <c r="F214" s="166" t="s">
        <v>172</v>
      </c>
      <c r="G214" s="166" t="s">
        <v>386</v>
      </c>
      <c r="H214" s="167">
        <v>200000</v>
      </c>
      <c r="I214" s="167"/>
      <c r="J214" s="167"/>
      <c r="K214" s="167"/>
      <c r="L214" s="168">
        <f t="shared" si="5"/>
        <v>200000</v>
      </c>
    </row>
    <row r="215" spans="1:12" ht="57" x14ac:dyDescent="0.25">
      <c r="A215" s="164">
        <v>190</v>
      </c>
      <c r="B215" s="165">
        <v>130</v>
      </c>
      <c r="C215" s="166" t="s">
        <v>387</v>
      </c>
      <c r="D215" s="166" t="s">
        <v>388</v>
      </c>
      <c r="E215" s="165" t="s">
        <v>189</v>
      </c>
      <c r="F215" s="166" t="s">
        <v>172</v>
      </c>
      <c r="G215" s="166" t="s">
        <v>173</v>
      </c>
      <c r="H215" s="170">
        <f>12851240.01-1527826.8</f>
        <v>11323413.209999999</v>
      </c>
      <c r="I215" s="167">
        <f>15690826.03+1527826.8</f>
        <v>17218652.829999998</v>
      </c>
      <c r="J215" s="167">
        <v>1270503.42</v>
      </c>
      <c r="K215" s="167"/>
      <c r="L215" s="168">
        <f t="shared" si="5"/>
        <v>29812569.460000001</v>
      </c>
    </row>
    <row r="216" spans="1:12" ht="71.25" x14ac:dyDescent="0.25">
      <c r="A216" s="159">
        <v>191</v>
      </c>
      <c r="B216" s="165">
        <v>1356</v>
      </c>
      <c r="C216" s="166" t="s">
        <v>387</v>
      </c>
      <c r="D216" s="166" t="s">
        <v>389</v>
      </c>
      <c r="E216" s="165" t="s">
        <v>189</v>
      </c>
      <c r="F216" s="166" t="s">
        <v>172</v>
      </c>
      <c r="G216" s="166" t="s">
        <v>173</v>
      </c>
      <c r="H216" s="167">
        <v>2812500</v>
      </c>
      <c r="I216" s="167">
        <v>19687500</v>
      </c>
      <c r="J216" s="167"/>
      <c r="K216" s="167"/>
      <c r="L216" s="168">
        <f t="shared" si="5"/>
        <v>22500000</v>
      </c>
    </row>
    <row r="217" spans="1:12" ht="57" x14ac:dyDescent="0.25">
      <c r="A217" s="164">
        <v>192</v>
      </c>
      <c r="B217" s="165">
        <v>1363</v>
      </c>
      <c r="C217" s="166" t="s">
        <v>387</v>
      </c>
      <c r="D217" s="166" t="s">
        <v>390</v>
      </c>
      <c r="E217" s="165" t="s">
        <v>189</v>
      </c>
      <c r="F217" s="166" t="s">
        <v>172</v>
      </c>
      <c r="G217" s="166" t="s">
        <v>173</v>
      </c>
      <c r="H217" s="167"/>
      <c r="I217" s="167">
        <v>12857142.857142851</v>
      </c>
      <c r="J217" s="167">
        <v>2142857.1428571432</v>
      </c>
      <c r="K217" s="167"/>
      <c r="L217" s="168">
        <f t="shared" si="5"/>
        <v>14999999.999999994</v>
      </c>
    </row>
    <row r="218" spans="1:12" ht="28.5" x14ac:dyDescent="0.25">
      <c r="A218" s="164">
        <v>193</v>
      </c>
      <c r="B218" s="165">
        <v>569</v>
      </c>
      <c r="C218" s="166" t="s">
        <v>391</v>
      </c>
      <c r="D218" s="166" t="s">
        <v>392</v>
      </c>
      <c r="E218" s="165" t="s">
        <v>171</v>
      </c>
      <c r="F218" s="166" t="s">
        <v>172</v>
      </c>
      <c r="G218" s="166" t="s">
        <v>173</v>
      </c>
      <c r="H218" s="167">
        <v>250000</v>
      </c>
      <c r="I218" s="167">
        <v>1250000</v>
      </c>
      <c r="J218" s="167"/>
      <c r="K218" s="167"/>
      <c r="L218" s="168">
        <f t="shared" ref="L218:L247" si="6">SUM(H218:K218)</f>
        <v>1500000</v>
      </c>
    </row>
    <row r="219" spans="1:12" ht="28.5" x14ac:dyDescent="0.25">
      <c r="A219" s="164">
        <v>194</v>
      </c>
      <c r="B219" s="165">
        <v>570</v>
      </c>
      <c r="C219" s="166" t="s">
        <v>391</v>
      </c>
      <c r="D219" s="166" t="s">
        <v>393</v>
      </c>
      <c r="E219" s="165" t="s">
        <v>171</v>
      </c>
      <c r="F219" s="166" t="s">
        <v>172</v>
      </c>
      <c r="G219" s="166" t="s">
        <v>173</v>
      </c>
      <c r="H219" s="167">
        <v>75000</v>
      </c>
      <c r="I219" s="167"/>
      <c r="J219" s="167"/>
      <c r="K219" s="167"/>
      <c r="L219" s="168">
        <f t="shared" si="6"/>
        <v>75000</v>
      </c>
    </row>
    <row r="220" spans="1:12" ht="42.75" x14ac:dyDescent="0.25">
      <c r="A220" s="164">
        <v>195</v>
      </c>
      <c r="B220" s="165">
        <v>725</v>
      </c>
      <c r="C220" s="166" t="s">
        <v>391</v>
      </c>
      <c r="D220" s="166" t="s">
        <v>394</v>
      </c>
      <c r="E220" s="165" t="s">
        <v>171</v>
      </c>
      <c r="F220" s="166" t="s">
        <v>172</v>
      </c>
      <c r="G220" s="166" t="s">
        <v>173</v>
      </c>
      <c r="H220" s="167">
        <v>187500</v>
      </c>
      <c r="I220" s="167"/>
      <c r="J220" s="167"/>
      <c r="K220" s="167"/>
      <c r="L220" s="168">
        <f t="shared" si="6"/>
        <v>187500</v>
      </c>
    </row>
    <row r="221" spans="1:12" ht="71.25" x14ac:dyDescent="0.25">
      <c r="A221" s="159">
        <v>196</v>
      </c>
      <c r="B221" s="165">
        <v>565</v>
      </c>
      <c r="C221" s="166" t="s">
        <v>391</v>
      </c>
      <c r="D221" s="166" t="s">
        <v>395</v>
      </c>
      <c r="E221" s="165" t="s">
        <v>189</v>
      </c>
      <c r="F221" s="166" t="s">
        <v>172</v>
      </c>
      <c r="G221" s="166" t="s">
        <v>173</v>
      </c>
      <c r="H221" s="167"/>
      <c r="I221" s="167"/>
      <c r="J221" s="167">
        <v>2813706.868378378</v>
      </c>
      <c r="K221" s="167">
        <v>7503218.3156756759</v>
      </c>
      <c r="L221" s="168">
        <f t="shared" si="6"/>
        <v>10316925.184054054</v>
      </c>
    </row>
    <row r="222" spans="1:12" ht="28.5" x14ac:dyDescent="0.25">
      <c r="A222" s="164">
        <v>197</v>
      </c>
      <c r="B222" s="165">
        <v>1030</v>
      </c>
      <c r="C222" s="166" t="s">
        <v>396</v>
      </c>
      <c r="D222" s="166" t="s">
        <v>220</v>
      </c>
      <c r="E222" s="165" t="s">
        <v>171</v>
      </c>
      <c r="F222" s="166" t="s">
        <v>178</v>
      </c>
      <c r="G222" s="166" t="s">
        <v>173</v>
      </c>
      <c r="H222" s="167"/>
      <c r="I222" s="167">
        <v>2698684.21</v>
      </c>
      <c r="J222" s="167"/>
      <c r="K222" s="167"/>
      <c r="L222" s="168">
        <f t="shared" si="6"/>
        <v>2698684.21</v>
      </c>
    </row>
    <row r="223" spans="1:12" ht="28.5" x14ac:dyDescent="0.25">
      <c r="A223" s="164">
        <v>198</v>
      </c>
      <c r="B223" s="165">
        <v>1030</v>
      </c>
      <c r="C223" s="166" t="s">
        <v>396</v>
      </c>
      <c r="D223" s="166" t="s">
        <v>220</v>
      </c>
      <c r="E223" s="165" t="s">
        <v>171</v>
      </c>
      <c r="F223" s="166" t="s">
        <v>172</v>
      </c>
      <c r="G223" s="166" t="s">
        <v>173</v>
      </c>
      <c r="H223" s="167"/>
      <c r="I223" s="167"/>
      <c r="J223" s="167">
        <v>9048529.4117647056</v>
      </c>
      <c r="K223" s="167">
        <v>30161764.705882352</v>
      </c>
      <c r="L223" s="168">
        <f t="shared" si="6"/>
        <v>39210294.117647059</v>
      </c>
    </row>
    <row r="224" spans="1:12" ht="28.5" x14ac:dyDescent="0.25">
      <c r="A224" s="164">
        <v>199</v>
      </c>
      <c r="B224" s="165">
        <v>1291</v>
      </c>
      <c r="C224" s="166" t="s">
        <v>396</v>
      </c>
      <c r="D224" s="166" t="s">
        <v>397</v>
      </c>
      <c r="E224" s="165" t="s">
        <v>171</v>
      </c>
      <c r="F224" s="166" t="s">
        <v>172</v>
      </c>
      <c r="G224" s="166" t="s">
        <v>173</v>
      </c>
      <c r="H224" s="167">
        <v>6485185.7333333325</v>
      </c>
      <c r="I224" s="167">
        <v>810648.21666666667</v>
      </c>
      <c r="J224" s="167"/>
      <c r="K224" s="167"/>
      <c r="L224" s="168">
        <f t="shared" si="6"/>
        <v>7295833.9499999993</v>
      </c>
    </row>
    <row r="225" spans="1:12" ht="57" x14ac:dyDescent="0.25">
      <c r="A225" s="164">
        <v>200</v>
      </c>
      <c r="B225" s="165">
        <v>1316</v>
      </c>
      <c r="C225" s="166" t="s">
        <v>396</v>
      </c>
      <c r="D225" s="166" t="s">
        <v>398</v>
      </c>
      <c r="E225" s="165" t="s">
        <v>171</v>
      </c>
      <c r="F225" s="166" t="s">
        <v>172</v>
      </c>
      <c r="G225" s="166" t="s">
        <v>173</v>
      </c>
      <c r="H225" s="167"/>
      <c r="I225" s="167">
        <v>16475989.515000001</v>
      </c>
      <c r="J225" s="167">
        <v>52723166.448000006</v>
      </c>
      <c r="K225" s="167">
        <v>36247176.932999991</v>
      </c>
      <c r="L225" s="168">
        <f t="shared" si="6"/>
        <v>105446332.896</v>
      </c>
    </row>
    <row r="226" spans="1:12" ht="28.5" x14ac:dyDescent="0.25">
      <c r="A226" s="159">
        <v>201</v>
      </c>
      <c r="B226" s="165">
        <v>1317</v>
      </c>
      <c r="C226" s="166" t="s">
        <v>396</v>
      </c>
      <c r="D226" s="166" t="s">
        <v>399</v>
      </c>
      <c r="E226" s="165" t="s">
        <v>171</v>
      </c>
      <c r="F226" s="166" t="s">
        <v>172</v>
      </c>
      <c r="G226" s="166" t="s">
        <v>173</v>
      </c>
      <c r="H226" s="167"/>
      <c r="I226" s="167">
        <v>19291223.340999998</v>
      </c>
      <c r="J226" s="167">
        <v>24485014.240499999</v>
      </c>
      <c r="K226" s="167">
        <v>741970.12849999999</v>
      </c>
      <c r="L226" s="168">
        <f t="shared" si="6"/>
        <v>44518207.709999993</v>
      </c>
    </row>
    <row r="227" spans="1:12" ht="57" x14ac:dyDescent="0.25">
      <c r="A227" s="164">
        <v>202</v>
      </c>
      <c r="B227" s="165">
        <v>1318</v>
      </c>
      <c r="C227" s="166" t="s">
        <v>396</v>
      </c>
      <c r="D227" s="166" t="s">
        <v>400</v>
      </c>
      <c r="E227" s="165" t="s">
        <v>171</v>
      </c>
      <c r="F227" s="166" t="s">
        <v>172</v>
      </c>
      <c r="G227" s="166" t="s">
        <v>173</v>
      </c>
      <c r="H227" s="167"/>
      <c r="I227" s="167">
        <v>28003916.69166667</v>
      </c>
      <c r="J227" s="167">
        <v>5600783.3383333329</v>
      </c>
      <c r="K227" s="167"/>
      <c r="L227" s="168">
        <f t="shared" si="6"/>
        <v>33604700.030000001</v>
      </c>
    </row>
    <row r="228" spans="1:12" ht="57" x14ac:dyDescent="0.25">
      <c r="A228" s="164">
        <v>203</v>
      </c>
      <c r="B228" s="165">
        <v>626</v>
      </c>
      <c r="C228" s="166" t="s">
        <v>401</v>
      </c>
      <c r="D228" s="166" t="s">
        <v>402</v>
      </c>
      <c r="E228" s="165" t="s">
        <v>171</v>
      </c>
      <c r="F228" s="166" t="s">
        <v>178</v>
      </c>
      <c r="G228" s="166" t="s">
        <v>237</v>
      </c>
      <c r="H228" s="167">
        <v>400000</v>
      </c>
      <c r="I228" s="167"/>
      <c r="J228" s="167"/>
      <c r="K228" s="167"/>
      <c r="L228" s="168">
        <f t="shared" si="6"/>
        <v>400000</v>
      </c>
    </row>
    <row r="229" spans="1:12" ht="142.5" x14ac:dyDescent="0.25">
      <c r="A229" s="164">
        <v>204</v>
      </c>
      <c r="B229" s="165">
        <v>941</v>
      </c>
      <c r="C229" s="166" t="s">
        <v>401</v>
      </c>
      <c r="D229" s="166" t="s">
        <v>403</v>
      </c>
      <c r="E229" s="165" t="s">
        <v>171</v>
      </c>
      <c r="F229" s="166" t="s">
        <v>172</v>
      </c>
      <c r="G229" s="166" t="s">
        <v>173</v>
      </c>
      <c r="H229" s="167"/>
      <c r="I229" s="167">
        <v>6428571.4285714282</v>
      </c>
      <c r="J229" s="167">
        <v>2571428.5714285709</v>
      </c>
      <c r="K229" s="167"/>
      <c r="L229" s="168">
        <f t="shared" si="6"/>
        <v>9000000</v>
      </c>
    </row>
    <row r="230" spans="1:12" ht="171" x14ac:dyDescent="0.25">
      <c r="A230" s="164">
        <v>205</v>
      </c>
      <c r="B230" s="165">
        <v>942</v>
      </c>
      <c r="C230" s="166" t="s">
        <v>401</v>
      </c>
      <c r="D230" s="166" t="s">
        <v>404</v>
      </c>
      <c r="E230" s="165" t="s">
        <v>171</v>
      </c>
      <c r="F230" s="166" t="s">
        <v>172</v>
      </c>
      <c r="G230" s="166" t="s">
        <v>173</v>
      </c>
      <c r="H230" s="167"/>
      <c r="I230" s="167">
        <v>1600000</v>
      </c>
      <c r="J230" s="167"/>
      <c r="K230" s="167"/>
      <c r="L230" s="168">
        <f t="shared" si="6"/>
        <v>1600000</v>
      </c>
    </row>
    <row r="231" spans="1:12" ht="57" x14ac:dyDescent="0.25">
      <c r="A231" s="159">
        <v>206</v>
      </c>
      <c r="B231" s="165">
        <v>970</v>
      </c>
      <c r="C231" s="166" t="s">
        <v>401</v>
      </c>
      <c r="D231" s="166" t="s">
        <v>405</v>
      </c>
      <c r="E231" s="165" t="s">
        <v>171</v>
      </c>
      <c r="F231" s="166" t="s">
        <v>172</v>
      </c>
      <c r="G231" s="166" t="s">
        <v>173</v>
      </c>
      <c r="H231" s="170">
        <v>150000</v>
      </c>
      <c r="I231" s="167"/>
      <c r="J231" s="167"/>
      <c r="K231" s="167"/>
      <c r="L231" s="168">
        <f t="shared" si="6"/>
        <v>150000</v>
      </c>
    </row>
    <row r="232" spans="1:12" ht="171" x14ac:dyDescent="0.25">
      <c r="A232" s="164">
        <v>207</v>
      </c>
      <c r="B232" s="165">
        <v>973</v>
      </c>
      <c r="C232" s="166" t="s">
        <v>401</v>
      </c>
      <c r="D232" s="166" t="s">
        <v>406</v>
      </c>
      <c r="E232" s="165" t="s">
        <v>189</v>
      </c>
      <c r="F232" s="166" t="s">
        <v>172</v>
      </c>
      <c r="G232" s="166" t="s">
        <v>173</v>
      </c>
      <c r="H232" s="167"/>
      <c r="I232" s="167">
        <v>10666666.66666666</v>
      </c>
      <c r="J232" s="167">
        <v>1333333.333333333</v>
      </c>
      <c r="K232" s="167"/>
      <c r="L232" s="168">
        <f t="shared" si="6"/>
        <v>11999999.999999993</v>
      </c>
    </row>
    <row r="233" spans="1:12" ht="57" x14ac:dyDescent="0.25">
      <c r="A233" s="164">
        <v>208</v>
      </c>
      <c r="B233" s="165">
        <v>140</v>
      </c>
      <c r="C233" s="166" t="s">
        <v>407</v>
      </c>
      <c r="D233" s="166" t="s">
        <v>408</v>
      </c>
      <c r="E233" s="165" t="s">
        <v>171</v>
      </c>
      <c r="F233" s="166" t="s">
        <v>172</v>
      </c>
      <c r="G233" s="166" t="s">
        <v>173</v>
      </c>
      <c r="H233" s="167"/>
      <c r="I233" s="167">
        <v>10000000</v>
      </c>
      <c r="J233" s="167"/>
      <c r="K233" s="167"/>
      <c r="L233" s="168">
        <f t="shared" si="6"/>
        <v>10000000</v>
      </c>
    </row>
    <row r="234" spans="1:12" ht="28.5" x14ac:dyDescent="0.25">
      <c r="A234" s="164">
        <v>209</v>
      </c>
      <c r="B234" s="165">
        <v>141</v>
      </c>
      <c r="C234" s="166" t="s">
        <v>407</v>
      </c>
      <c r="D234" s="166" t="s">
        <v>409</v>
      </c>
      <c r="E234" s="165" t="s">
        <v>171</v>
      </c>
      <c r="F234" s="166" t="s">
        <v>178</v>
      </c>
      <c r="G234" s="166" t="s">
        <v>197</v>
      </c>
      <c r="H234" s="167">
        <v>490000</v>
      </c>
      <c r="I234" s="167"/>
      <c r="J234" s="167"/>
      <c r="K234" s="167"/>
      <c r="L234" s="168">
        <f t="shared" si="6"/>
        <v>490000</v>
      </c>
    </row>
    <row r="235" spans="1:12" ht="28.5" x14ac:dyDescent="0.25">
      <c r="A235" s="164">
        <v>210</v>
      </c>
      <c r="B235" s="165">
        <v>141</v>
      </c>
      <c r="C235" s="166" t="s">
        <v>407</v>
      </c>
      <c r="D235" s="166" t="s">
        <v>409</v>
      </c>
      <c r="E235" s="165" t="s">
        <v>171</v>
      </c>
      <c r="F235" s="166" t="s">
        <v>172</v>
      </c>
      <c r="G235" s="166" t="s">
        <v>173</v>
      </c>
      <c r="H235" s="167"/>
      <c r="I235" s="167">
        <v>2751538.461538462</v>
      </c>
      <c r="J235" s="167">
        <v>825461.53846153861</v>
      </c>
      <c r="K235" s="167"/>
      <c r="L235" s="168">
        <f t="shared" si="6"/>
        <v>3577000.0000000005</v>
      </c>
    </row>
    <row r="236" spans="1:12" ht="42.75" x14ac:dyDescent="0.25">
      <c r="A236" s="159">
        <v>211</v>
      </c>
      <c r="B236" s="165">
        <v>950</v>
      </c>
      <c r="C236" s="166" t="s">
        <v>407</v>
      </c>
      <c r="D236" s="166" t="s">
        <v>410</v>
      </c>
      <c r="E236" s="165" t="s">
        <v>189</v>
      </c>
      <c r="F236" s="166" t="s">
        <v>178</v>
      </c>
      <c r="G236" s="166" t="s">
        <v>173</v>
      </c>
      <c r="H236" s="167"/>
      <c r="I236" s="167">
        <v>200000</v>
      </c>
      <c r="J236" s="167"/>
      <c r="K236" s="167"/>
      <c r="L236" s="168">
        <f t="shared" si="6"/>
        <v>200000</v>
      </c>
    </row>
    <row r="237" spans="1:12" ht="42.75" x14ac:dyDescent="0.25">
      <c r="A237" s="164">
        <v>212</v>
      </c>
      <c r="B237" s="165">
        <v>950</v>
      </c>
      <c r="C237" s="166" t="s">
        <v>407</v>
      </c>
      <c r="D237" s="166" t="s">
        <v>410</v>
      </c>
      <c r="E237" s="165" t="s">
        <v>189</v>
      </c>
      <c r="F237" s="166" t="s">
        <v>172</v>
      </c>
      <c r="G237" s="166" t="s">
        <v>173</v>
      </c>
      <c r="H237" s="167"/>
      <c r="I237" s="167"/>
      <c r="J237" s="167">
        <v>874999.99999999977</v>
      </c>
      <c r="K237" s="167">
        <v>2406250</v>
      </c>
      <c r="L237" s="168">
        <f t="shared" si="6"/>
        <v>3281250</v>
      </c>
    </row>
    <row r="238" spans="1:12" ht="28.5" x14ac:dyDescent="0.25">
      <c r="A238" s="164">
        <v>213</v>
      </c>
      <c r="B238" s="165">
        <v>1158</v>
      </c>
      <c r="C238" s="166" t="s">
        <v>407</v>
      </c>
      <c r="D238" s="166" t="s">
        <v>411</v>
      </c>
      <c r="E238" s="165" t="s">
        <v>189</v>
      </c>
      <c r="F238" s="166" t="s">
        <v>178</v>
      </c>
      <c r="G238" s="166" t="s">
        <v>173</v>
      </c>
      <c r="H238" s="167"/>
      <c r="I238" s="167"/>
      <c r="J238" s="167"/>
      <c r="K238" s="167">
        <v>3039473.68</v>
      </c>
      <c r="L238" s="168">
        <f t="shared" si="6"/>
        <v>3039473.68</v>
      </c>
    </row>
    <row r="239" spans="1:12" ht="42.75" x14ac:dyDescent="0.25">
      <c r="A239" s="164">
        <v>214</v>
      </c>
      <c r="B239" s="165">
        <v>1238</v>
      </c>
      <c r="C239" s="166" t="s">
        <v>412</v>
      </c>
      <c r="D239" s="166" t="s">
        <v>220</v>
      </c>
      <c r="E239" s="165" t="s">
        <v>171</v>
      </c>
      <c r="F239" s="166" t="s">
        <v>178</v>
      </c>
      <c r="G239" s="166" t="s">
        <v>173</v>
      </c>
      <c r="H239" s="167"/>
      <c r="I239" s="167"/>
      <c r="J239" s="167"/>
      <c r="K239" s="167">
        <v>49736.84</v>
      </c>
      <c r="L239" s="168">
        <f t="shared" si="6"/>
        <v>49736.84</v>
      </c>
    </row>
    <row r="240" spans="1:12" ht="28.5" x14ac:dyDescent="0.25">
      <c r="A240" s="164">
        <v>215</v>
      </c>
      <c r="B240" s="165">
        <v>144</v>
      </c>
      <c r="C240" s="166" t="s">
        <v>413</v>
      </c>
      <c r="D240" s="166" t="s">
        <v>414</v>
      </c>
      <c r="E240" s="165" t="s">
        <v>171</v>
      </c>
      <c r="F240" s="166" t="s">
        <v>172</v>
      </c>
      <c r="G240" s="166" t="s">
        <v>173</v>
      </c>
      <c r="H240" s="167"/>
      <c r="I240" s="167">
        <v>45739461.356000014</v>
      </c>
      <c r="J240" s="167">
        <v>68609192.034000009</v>
      </c>
      <c r="K240" s="167"/>
      <c r="L240" s="168">
        <f t="shared" si="6"/>
        <v>114348653.39000002</v>
      </c>
    </row>
    <row r="241" spans="1:12" x14ac:dyDescent="0.25">
      <c r="A241" s="159">
        <v>216</v>
      </c>
      <c r="B241" s="165">
        <v>160</v>
      </c>
      <c r="C241" s="166" t="s">
        <v>415</v>
      </c>
      <c r="D241" s="166" t="s">
        <v>416</v>
      </c>
      <c r="E241" s="165" t="s">
        <v>171</v>
      </c>
      <c r="F241" s="166" t="s">
        <v>178</v>
      </c>
      <c r="G241" s="166" t="s">
        <v>336</v>
      </c>
      <c r="H241" s="167">
        <v>400000</v>
      </c>
      <c r="I241" s="167"/>
      <c r="J241" s="167"/>
      <c r="K241" s="167"/>
      <c r="L241" s="168">
        <f t="shared" si="6"/>
        <v>400000</v>
      </c>
    </row>
    <row r="242" spans="1:12" ht="28.5" x14ac:dyDescent="0.25">
      <c r="A242" s="164">
        <v>217</v>
      </c>
      <c r="B242" s="165">
        <v>160</v>
      </c>
      <c r="C242" s="166" t="s">
        <v>415</v>
      </c>
      <c r="D242" s="166" t="s">
        <v>416</v>
      </c>
      <c r="E242" s="165" t="s">
        <v>171</v>
      </c>
      <c r="F242" s="166" t="s">
        <v>172</v>
      </c>
      <c r="G242" s="166" t="s">
        <v>173</v>
      </c>
      <c r="H242" s="167"/>
      <c r="I242" s="167">
        <v>4000000</v>
      </c>
      <c r="J242" s="167">
        <v>4000000</v>
      </c>
      <c r="K242" s="167"/>
      <c r="L242" s="168">
        <f t="shared" si="6"/>
        <v>8000000</v>
      </c>
    </row>
    <row r="243" spans="1:12" ht="57" x14ac:dyDescent="0.25">
      <c r="A243" s="164">
        <v>218</v>
      </c>
      <c r="B243" s="165">
        <v>1297</v>
      </c>
      <c r="C243" s="166" t="s">
        <v>415</v>
      </c>
      <c r="D243" s="166" t="s">
        <v>417</v>
      </c>
      <c r="E243" s="165" t="s">
        <v>171</v>
      </c>
      <c r="F243" s="166" t="s">
        <v>172</v>
      </c>
      <c r="G243" s="166" t="s">
        <v>173</v>
      </c>
      <c r="H243" s="167">
        <v>4800000</v>
      </c>
      <c r="I243" s="167"/>
      <c r="J243" s="167"/>
      <c r="K243" s="167"/>
      <c r="L243" s="168">
        <f t="shared" si="6"/>
        <v>4800000</v>
      </c>
    </row>
    <row r="244" spans="1:12" ht="142.5" x14ac:dyDescent="0.25">
      <c r="A244" s="164">
        <v>219</v>
      </c>
      <c r="B244" s="165">
        <v>730</v>
      </c>
      <c r="C244" s="166" t="s">
        <v>415</v>
      </c>
      <c r="D244" s="166" t="s">
        <v>418</v>
      </c>
      <c r="E244" s="165" t="s">
        <v>189</v>
      </c>
      <c r="F244" s="166" t="s">
        <v>172</v>
      </c>
      <c r="G244" s="166" t="s">
        <v>173</v>
      </c>
      <c r="H244" s="167">
        <v>5057592.9800000004</v>
      </c>
      <c r="I244" s="167"/>
      <c r="J244" s="167"/>
      <c r="K244" s="167"/>
      <c r="L244" s="168">
        <f t="shared" si="6"/>
        <v>5057592.9800000004</v>
      </c>
    </row>
    <row r="245" spans="1:12" ht="28.5" x14ac:dyDescent="0.25">
      <c r="A245" s="164">
        <v>220</v>
      </c>
      <c r="B245" s="165">
        <v>1330</v>
      </c>
      <c r="C245" s="166" t="s">
        <v>419</v>
      </c>
      <c r="D245" s="166" t="s">
        <v>420</v>
      </c>
      <c r="E245" s="165" t="s">
        <v>171</v>
      </c>
      <c r="F245" s="166" t="s">
        <v>172</v>
      </c>
      <c r="G245" s="166" t="s">
        <v>173</v>
      </c>
      <c r="H245" s="167">
        <v>20927705.109999999</v>
      </c>
      <c r="I245" s="167"/>
      <c r="J245" s="167"/>
      <c r="K245" s="167"/>
      <c r="L245" s="168">
        <f t="shared" si="6"/>
        <v>20927705.109999999</v>
      </c>
    </row>
    <row r="246" spans="1:12" ht="156.75" x14ac:dyDescent="0.25">
      <c r="A246" s="159">
        <v>221</v>
      </c>
      <c r="B246" s="165">
        <v>1331</v>
      </c>
      <c r="C246" s="166" t="s">
        <v>419</v>
      </c>
      <c r="D246" s="166" t="s">
        <v>421</v>
      </c>
      <c r="E246" s="165" t="s">
        <v>171</v>
      </c>
      <c r="F246" s="166" t="s">
        <v>172</v>
      </c>
      <c r="G246" s="166" t="s">
        <v>173</v>
      </c>
      <c r="H246" s="167">
        <v>317460.31746031751</v>
      </c>
      <c r="I246" s="167">
        <v>6031746.0317460317</v>
      </c>
      <c r="J246" s="167">
        <v>3650793.6507936511</v>
      </c>
      <c r="K246" s="167"/>
      <c r="L246" s="168">
        <f t="shared" si="6"/>
        <v>10000000</v>
      </c>
    </row>
    <row r="247" spans="1:12" ht="57" x14ac:dyDescent="0.25">
      <c r="A247" s="164">
        <v>222</v>
      </c>
      <c r="B247" s="165">
        <v>1332</v>
      </c>
      <c r="C247" s="166" t="s">
        <v>419</v>
      </c>
      <c r="D247" s="166" t="s">
        <v>422</v>
      </c>
      <c r="E247" s="165" t="s">
        <v>171</v>
      </c>
      <c r="F247" s="166" t="s">
        <v>172</v>
      </c>
      <c r="G247" s="166" t="s">
        <v>173</v>
      </c>
      <c r="H247" s="174"/>
      <c r="I247" s="174"/>
      <c r="J247" s="174">
        <v>984000.00000000023</v>
      </c>
      <c r="K247" s="174">
        <v>5247999.9999999991</v>
      </c>
      <c r="L247" s="175">
        <f t="shared" si="6"/>
        <v>6231999.9999999991</v>
      </c>
    </row>
    <row r="248" spans="1:12" ht="24.75" customHeight="1" x14ac:dyDescent="0.25">
      <c r="A248" s="176"/>
      <c r="B248" s="177"/>
      <c r="C248" s="177"/>
      <c r="D248" s="177"/>
      <c r="E248" s="61"/>
      <c r="F248" s="177"/>
      <c r="G248" s="177"/>
      <c r="H248" s="168">
        <f>SUBTOTAL(9,H26:H247)</f>
        <v>407483787.51088917</v>
      </c>
      <c r="I248" s="168">
        <f>SUBTOTAL(9,I26:I247)</f>
        <v>729460526.32199466</v>
      </c>
      <c r="J248" s="168">
        <f>SUBTOTAL(9,J26:J247)</f>
        <v>818433300.60971594</v>
      </c>
      <c r="K248" s="168">
        <f>SUBTOTAL(9,K26:K247)</f>
        <v>299864885.52054924</v>
      </c>
      <c r="L248" s="168">
        <f>SUBTOTAL(9,L26:L247)</f>
        <v>2255242499.9631491</v>
      </c>
    </row>
    <row r="249" spans="1:12" ht="24.75" customHeight="1" x14ac:dyDescent="0.25">
      <c r="A249" s="176"/>
      <c r="B249" s="177"/>
      <c r="C249" s="177"/>
      <c r="D249" s="177"/>
      <c r="E249" s="61"/>
      <c r="F249" s="177"/>
      <c r="G249" s="177"/>
      <c r="H249" s="178"/>
      <c r="I249" s="178"/>
      <c r="J249" s="178"/>
      <c r="K249" s="178"/>
      <c r="L249" s="178"/>
    </row>
    <row r="250" spans="1:12" ht="30" customHeight="1" x14ac:dyDescent="0.25">
      <c r="G250" s="177" t="s">
        <v>173</v>
      </c>
      <c r="H250" s="179">
        <f>SUMIFS(H26:H247,$G$26:$G$247,$G$250)</f>
        <v>331359355.88317257</v>
      </c>
      <c r="I250" s="179">
        <f>SUMIFS(I26:I247,$G$26:$G$247,$G$250)</f>
        <v>707931844.97282791</v>
      </c>
      <c r="J250" s="179">
        <f>SUMIFS(J26:J247,$G$26:$G$247,$G$250)</f>
        <v>818413300.60971594</v>
      </c>
      <c r="K250" s="179">
        <f>SUMIFS(K26:K247,$G$26:$G$247,$G$250)</f>
        <v>299864885.52054924</v>
      </c>
      <c r="L250" s="180">
        <f>SUM(H250:K250)</f>
        <v>2157569386.9862657</v>
      </c>
    </row>
    <row r="251" spans="1:12" ht="30" customHeight="1" x14ac:dyDescent="0.25">
      <c r="G251" s="177" t="s">
        <v>423</v>
      </c>
      <c r="H251" s="180">
        <f>H248-H250</f>
        <v>76124431.627716601</v>
      </c>
      <c r="I251" s="180">
        <f>I248-I250</f>
        <v>21528681.349166751</v>
      </c>
      <c r="J251" s="180">
        <f>J248-J250</f>
        <v>20000</v>
      </c>
      <c r="K251" s="180">
        <f>K248-K250</f>
        <v>0</v>
      </c>
      <c r="L251" s="180">
        <f>SUM(H251:K251)</f>
        <v>97673112.976883352</v>
      </c>
    </row>
    <row r="252" spans="1:12" x14ac:dyDescent="0.25">
      <c r="L252" s="181"/>
    </row>
  </sheetData>
  <autoFilter ref="A25:L247" xr:uid="{6A73A177-DF6C-47FB-A18D-6C0CEB6EFD95}"/>
  <mergeCells count="3">
    <mergeCell ref="B1:L2"/>
    <mergeCell ref="B3:L3"/>
    <mergeCell ref="B24:L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9E06-28ED-4960-9CAD-651F14912FA3}">
  <sheetPr codeName="Planilha17">
    <tabColor theme="9" tint="0.59999389629810485"/>
  </sheetPr>
  <dimension ref="A2:I19"/>
  <sheetViews>
    <sheetView workbookViewId="0">
      <selection activeCell="J23" sqref="J23"/>
    </sheetView>
  </sheetViews>
  <sheetFormatPr defaultColWidth="9.28515625" defaultRowHeight="16.5" x14ac:dyDescent="0.3"/>
  <cols>
    <col min="1" max="1" width="8.85546875" style="212" customWidth="1"/>
    <col min="2" max="2" width="31.42578125" style="212" customWidth="1"/>
    <col min="3" max="3" width="11.28515625" style="212" customWidth="1"/>
    <col min="4" max="8" width="14.42578125" style="212" customWidth="1"/>
    <col min="9" max="9" width="9.7109375" style="212" customWidth="1"/>
    <col min="10" max="10" width="12" style="212" bestFit="1" customWidth="1"/>
    <col min="11" max="11" width="11.28515625" style="212" bestFit="1" customWidth="1"/>
    <col min="12" max="12" width="17.7109375" style="212" bestFit="1" customWidth="1"/>
    <col min="13" max="13" width="12.7109375" style="212" bestFit="1" customWidth="1"/>
    <col min="14" max="14" width="16.42578125" style="212" bestFit="1" customWidth="1"/>
    <col min="15" max="20" width="12" style="212" bestFit="1" customWidth="1"/>
    <col min="21" max="21" width="9.28515625" style="212"/>
    <col min="22" max="22" width="7.5703125" style="212" bestFit="1" customWidth="1"/>
    <col min="23" max="23" width="9" style="212" bestFit="1" customWidth="1"/>
    <col min="24" max="16384" width="9.28515625" style="212"/>
  </cols>
  <sheetData>
    <row r="2" spans="1:9" ht="18.75" x14ac:dyDescent="0.3">
      <c r="A2" s="510"/>
      <c r="B2" s="512" t="s">
        <v>651</v>
      </c>
      <c r="C2" s="511"/>
      <c r="D2" s="510"/>
      <c r="E2" s="510"/>
      <c r="F2" s="510"/>
      <c r="G2" s="510"/>
      <c r="H2" s="510"/>
    </row>
    <row r="4" spans="1:9" x14ac:dyDescent="0.3">
      <c r="B4" s="372"/>
      <c r="C4" s="372"/>
      <c r="D4" s="372">
        <v>2016</v>
      </c>
      <c r="E4" s="372">
        <v>2017</v>
      </c>
      <c r="F4" s="372">
        <v>2018</v>
      </c>
      <c r="G4" s="372">
        <v>2019</v>
      </c>
      <c r="H4" s="372">
        <v>2020</v>
      </c>
    </row>
    <row r="5" spans="1:9" x14ac:dyDescent="0.3">
      <c r="B5" s="223" t="s">
        <v>653</v>
      </c>
      <c r="C5" s="223"/>
      <c r="D5" s="373">
        <f>'DE4 - DRE - Histórico'!G7</f>
        <v>1162717</v>
      </c>
      <c r="E5" s="373">
        <f>'DE4 - DRE - Histórico'!H7</f>
        <v>1250463.3999999999</v>
      </c>
      <c r="F5" s="373">
        <f>'DE4 - DRE - Histórico'!I7</f>
        <v>1282955</v>
      </c>
      <c r="G5" s="373">
        <f>'DE4 - DRE - Histórico'!J7</f>
        <v>1388453</v>
      </c>
      <c r="H5" s="373">
        <f>'DE4 - DRE - Histórico'!K7</f>
        <v>1477546</v>
      </c>
    </row>
    <row r="6" spans="1:9" x14ac:dyDescent="0.3">
      <c r="B6" s="223" t="s">
        <v>654</v>
      </c>
      <c r="C6" s="223"/>
      <c r="D6" s="373">
        <f>'DE4 - DRE - Histórico'!G8</f>
        <v>551597</v>
      </c>
      <c r="E6" s="373">
        <f>'DE4 - DRE - Histórico'!H8</f>
        <v>602578.4</v>
      </c>
      <c r="F6" s="373">
        <f>'DE4 - DRE - Histórico'!I8</f>
        <v>631801</v>
      </c>
      <c r="G6" s="373">
        <f>'DE4 - DRE - Histórico'!J8</f>
        <v>737144</v>
      </c>
      <c r="H6" s="373">
        <f>'DE4 - DRE - Histórico'!K8</f>
        <v>760896</v>
      </c>
    </row>
    <row r="7" spans="1:9" x14ac:dyDescent="0.3">
      <c r="B7" s="223" t="s">
        <v>655</v>
      </c>
      <c r="C7" s="223"/>
      <c r="D7" s="373">
        <f>SUM(D5:D6)</f>
        <v>1714314</v>
      </c>
      <c r="E7" s="373">
        <f t="shared" ref="E7:H7" si="0">SUM(E5:E6)</f>
        <v>1853041.7999999998</v>
      </c>
      <c r="F7" s="373">
        <f t="shared" si="0"/>
        <v>1914756</v>
      </c>
      <c r="G7" s="373">
        <f t="shared" si="0"/>
        <v>2125597</v>
      </c>
      <c r="H7" s="373">
        <f t="shared" si="0"/>
        <v>2238442</v>
      </c>
    </row>
    <row r="8" spans="1:9" x14ac:dyDescent="0.3">
      <c r="B8" s="223" t="s">
        <v>651</v>
      </c>
      <c r="C8" s="223"/>
      <c r="D8" s="373">
        <f>'DE4 - DRE - Histórico'!G15</f>
        <v>1384</v>
      </c>
      <c r="E8" s="373">
        <f>'DE4 - DRE - Histórico'!H15</f>
        <v>1445</v>
      </c>
      <c r="F8" s="373">
        <f>'DE4 - DRE - Histórico'!I15</f>
        <v>2563</v>
      </c>
      <c r="G8" s="373">
        <f>'DE4 - DRE - Histórico'!J15</f>
        <v>2167</v>
      </c>
      <c r="H8" s="373">
        <f>'DE4 - DRE - Histórico'!K15</f>
        <v>1763</v>
      </c>
    </row>
    <row r="10" spans="1:9" x14ac:dyDescent="0.3">
      <c r="B10" s="589" t="s">
        <v>656</v>
      </c>
      <c r="C10" s="489" t="s">
        <v>714</v>
      </c>
      <c r="D10" s="374">
        <f>(D8)/(D7)</f>
        <v>8.0732001255312622E-4</v>
      </c>
      <c r="E10" s="374">
        <f t="shared" ref="E10:H10" si="1">(E8)/(E7)</f>
        <v>7.7979892304642028E-4</v>
      </c>
      <c r="F10" s="374">
        <f t="shared" si="1"/>
        <v>1.3385517528081907E-3</v>
      </c>
      <c r="G10" s="374">
        <f t="shared" si="1"/>
        <v>1.0194782924514854E-3</v>
      </c>
      <c r="H10" s="374">
        <f t="shared" si="1"/>
        <v>7.8760137631441872E-4</v>
      </c>
    </row>
    <row r="11" spans="1:9" x14ac:dyDescent="0.3">
      <c r="B11" s="589"/>
      <c r="C11" s="489" t="s">
        <v>715</v>
      </c>
      <c r="D11" s="590">
        <f>SUM(D8:H8)/SUM(D7:H7)</f>
        <v>9.4676591790570578E-4</v>
      </c>
      <c r="E11" s="590"/>
      <c r="F11" s="590"/>
      <c r="G11" s="590"/>
      <c r="H11" s="590"/>
      <c r="I11" s="362"/>
    </row>
    <row r="12" spans="1:9" x14ac:dyDescent="0.3">
      <c r="B12" s="375"/>
      <c r="C12" s="375"/>
    </row>
    <row r="14" spans="1:9" ht="18.75" x14ac:dyDescent="0.3">
      <c r="A14" s="510"/>
      <c r="B14" s="512" t="s">
        <v>657</v>
      </c>
      <c r="C14" s="511"/>
      <c r="D14" s="510"/>
      <c r="E14" s="510"/>
      <c r="F14" s="510"/>
      <c r="G14" s="510"/>
      <c r="H14" s="510"/>
    </row>
    <row r="16" spans="1:9" x14ac:dyDescent="0.3">
      <c r="B16" s="250"/>
      <c r="C16" s="250"/>
      <c r="D16" s="250">
        <v>2016</v>
      </c>
      <c r="E16" s="250">
        <v>2017</v>
      </c>
      <c r="F16" s="250">
        <v>2018</v>
      </c>
      <c r="G16" s="250">
        <v>2019</v>
      </c>
      <c r="H16" s="250" t="s">
        <v>652</v>
      </c>
    </row>
    <row r="17" spans="2:8" x14ac:dyDescent="0.3">
      <c r="B17" s="589" t="s">
        <v>657</v>
      </c>
      <c r="C17" s="489" t="s">
        <v>714</v>
      </c>
      <c r="D17" s="373">
        <f>'DE4 - DRE - Histórico'!G16</f>
        <v>9100</v>
      </c>
      <c r="E17" s="373">
        <f>'DE4 - DRE - Histórico'!H16</f>
        <v>9100</v>
      </c>
      <c r="F17" s="373">
        <f>'DE4 - DRE - Histórico'!I16</f>
        <v>9100</v>
      </c>
      <c r="G17" s="373">
        <f>'DE4 - DRE - Histórico'!J16</f>
        <v>9100</v>
      </c>
      <c r="H17" s="373">
        <f>'DE4 - DRE - Histórico'!K16</f>
        <v>9100</v>
      </c>
    </row>
    <row r="18" spans="2:8" x14ac:dyDescent="0.3">
      <c r="B18" s="589"/>
      <c r="C18" s="489" t="s">
        <v>715</v>
      </c>
      <c r="D18" s="591">
        <f>AVERAGE(D17:H17)</f>
        <v>9100</v>
      </c>
      <c r="E18" s="591"/>
      <c r="F18" s="591"/>
      <c r="G18" s="591"/>
      <c r="H18" s="591"/>
    </row>
    <row r="19" spans="2:8" x14ac:dyDescent="0.3">
      <c r="B19" s="212" t="s">
        <v>658</v>
      </c>
    </row>
  </sheetData>
  <mergeCells count="4">
    <mergeCell ref="B10:B11"/>
    <mergeCell ref="D11:H11"/>
    <mergeCell ref="B17:B18"/>
    <mergeCell ref="D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187B-455F-4470-A3E0-6930521A6CAA}">
  <sheetPr codeName="Planilha18">
    <tabColor theme="9" tint="0.59999389629810485"/>
  </sheetPr>
  <dimension ref="A2:F11"/>
  <sheetViews>
    <sheetView workbookViewId="0">
      <selection activeCell="B13" sqref="B13"/>
    </sheetView>
  </sheetViews>
  <sheetFormatPr defaultColWidth="8.85546875" defaultRowHeight="15" customHeight="1" x14ac:dyDescent="0.25"/>
  <cols>
    <col min="1" max="1" width="8.85546875" style="58"/>
    <col min="2" max="2" width="35.28515625" style="58" customWidth="1"/>
    <col min="3" max="5" width="11" style="255" customWidth="1"/>
    <col min="6" max="16384" width="8.85546875" style="58"/>
  </cols>
  <sheetData>
    <row r="2" spans="1:6" ht="18" x14ac:dyDescent="0.25">
      <c r="A2" s="513"/>
      <c r="B2" s="514" t="s">
        <v>673</v>
      </c>
      <c r="C2" s="515"/>
      <c r="D2" s="515"/>
      <c r="E2" s="515"/>
    </row>
    <row r="3" spans="1:6" ht="17.25" thickBot="1" x14ac:dyDescent="0.3"/>
    <row r="4" spans="1:6" ht="16.5" x14ac:dyDescent="0.25">
      <c r="B4" s="516"/>
      <c r="C4" s="592" t="s">
        <v>659</v>
      </c>
      <c r="D4" s="592"/>
      <c r="E4" s="593"/>
    </row>
    <row r="5" spans="1:6" ht="16.5" x14ac:dyDescent="0.25">
      <c r="B5" s="517" t="s">
        <v>660</v>
      </c>
      <c r="C5" s="518">
        <v>2019</v>
      </c>
      <c r="D5" s="518">
        <v>2020</v>
      </c>
      <c r="E5" s="519" t="s">
        <v>661</v>
      </c>
    </row>
    <row r="6" spans="1:6" ht="16.5" x14ac:dyDescent="0.25">
      <c r="B6" s="376" t="s">
        <v>662</v>
      </c>
      <c r="C6" s="377">
        <f>'DE1 - Dados Oper. - Histórico'!G9</f>
        <v>2408819</v>
      </c>
      <c r="D6" s="377">
        <f>'DE1 - Dados Oper. - Histórico'!H9</f>
        <v>2471517</v>
      </c>
      <c r="E6" s="378">
        <f>D6/C6-1</f>
        <v>2.6028522690995093E-2</v>
      </c>
    </row>
    <row r="7" spans="1:6" ht="16.5" x14ac:dyDescent="0.25">
      <c r="B7" s="376" t="s">
        <v>663</v>
      </c>
      <c r="C7" s="377">
        <f>'DE1 - Dados Oper. - Histórico'!G18</f>
        <v>51271</v>
      </c>
      <c r="D7" s="377">
        <f>'DE1 - Dados Oper. - Histórico'!H18</f>
        <v>50931</v>
      </c>
      <c r="E7" s="378">
        <f>D7/C7-1</f>
        <v>-6.6314290729652114E-3</v>
      </c>
    </row>
    <row r="8" spans="1:6" ht="16.5" x14ac:dyDescent="0.25">
      <c r="B8" s="379" t="s">
        <v>664</v>
      </c>
      <c r="C8" s="380">
        <f>SUM(C6:C7)</f>
        <v>2460090</v>
      </c>
      <c r="D8" s="380">
        <f>SUM(D6:D7)</f>
        <v>2522448</v>
      </c>
      <c r="E8" s="381">
        <f>D8/C8-1</f>
        <v>2.5347853127324571E-2</v>
      </c>
    </row>
    <row r="9" spans="1:6" ht="16.5" x14ac:dyDescent="0.25">
      <c r="B9" s="376" t="s">
        <v>665</v>
      </c>
      <c r="C9" s="377">
        <f>'DE4 - DRE - Histórico'!J9</f>
        <v>341223</v>
      </c>
      <c r="D9" s="377">
        <f>'DE4 - DRE - Histórico'!K9</f>
        <v>359689</v>
      </c>
      <c r="E9" s="378">
        <f>D9/C9-1</f>
        <v>5.4117102305530462E-2</v>
      </c>
    </row>
    <row r="10" spans="1:6" ht="16.5" x14ac:dyDescent="0.25">
      <c r="B10" s="260" t="s">
        <v>674</v>
      </c>
      <c r="C10" s="382">
        <f>C9/(C8/1000)</f>
        <v>138.70346206846091</v>
      </c>
      <c r="D10" s="382">
        <f>D9/(D8/1000)</f>
        <v>142.5952090984631</v>
      </c>
      <c r="E10" s="594">
        <f>D10/C10-1</f>
        <v>2.8058038148184972E-2</v>
      </c>
      <c r="F10" s="383"/>
    </row>
    <row r="11" spans="1:6" ht="17.25" thickBot="1" x14ac:dyDescent="0.3">
      <c r="B11" s="262" t="s">
        <v>675</v>
      </c>
      <c r="C11" s="384">
        <f>C10/12</f>
        <v>11.558621839038409</v>
      </c>
      <c r="D11" s="384">
        <f>D10/12</f>
        <v>11.882934091538592</v>
      </c>
      <c r="E11" s="595"/>
    </row>
  </sheetData>
  <mergeCells count="2">
    <mergeCell ref="C4:E4"/>
    <mergeCell ref="E10:E1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1708-1210-480F-BE66-4CE95C2E7884}">
  <sheetPr codeName="Planilha19">
    <tabColor theme="1"/>
  </sheetPr>
  <dimension ref="A1:E34"/>
  <sheetViews>
    <sheetView workbookViewId="0">
      <selection activeCell="F14" sqref="F14"/>
    </sheetView>
  </sheetViews>
  <sheetFormatPr defaultColWidth="9.140625" defaultRowHeight="14.25" x14ac:dyDescent="0.2"/>
  <cols>
    <col min="1" max="1" width="15" style="183" customWidth="1"/>
    <col min="2" max="2" width="68.140625" style="182" customWidth="1"/>
    <col min="3" max="3" width="19.85546875" style="183" customWidth="1"/>
    <col min="4" max="4" width="16.85546875" style="183" customWidth="1"/>
    <col min="5" max="5" width="11" style="182" customWidth="1"/>
    <col min="6" max="16384" width="9.140625" style="182"/>
  </cols>
  <sheetData>
    <row r="1" spans="1:5" ht="23.25" x14ac:dyDescent="0.35">
      <c r="A1" s="596" t="s">
        <v>472</v>
      </c>
      <c r="B1" s="596"/>
      <c r="C1" s="596"/>
      <c r="D1" s="596"/>
    </row>
    <row r="2" spans="1:5" ht="25.5" customHeight="1" thickBot="1" x14ac:dyDescent="0.25"/>
    <row r="3" spans="1:5" ht="30" x14ac:dyDescent="0.2">
      <c r="A3" s="543" t="s">
        <v>471</v>
      </c>
      <c r="B3" s="544" t="s">
        <v>475</v>
      </c>
      <c r="C3" s="544" t="s">
        <v>454</v>
      </c>
      <c r="D3" s="545" t="s">
        <v>470</v>
      </c>
    </row>
    <row r="4" spans="1:5" x14ac:dyDescent="0.2">
      <c r="A4" s="184" t="s">
        <v>434</v>
      </c>
      <c r="B4" s="185" t="s">
        <v>424</v>
      </c>
      <c r="C4" s="185" t="s">
        <v>460</v>
      </c>
      <c r="D4" s="186">
        <f>(D26/D18)*1000</f>
        <v>2.0087629160244331</v>
      </c>
    </row>
    <row r="5" spans="1:5" x14ac:dyDescent="0.2">
      <c r="A5" s="187" t="s">
        <v>435</v>
      </c>
      <c r="B5" s="188" t="s">
        <v>425</v>
      </c>
      <c r="C5" s="188" t="s">
        <v>21</v>
      </c>
      <c r="D5" s="189">
        <f>D25/D24</f>
        <v>27.171939866899912</v>
      </c>
      <c r="E5" s="190"/>
    </row>
    <row r="6" spans="1:5" x14ac:dyDescent="0.2">
      <c r="A6" s="184" t="s">
        <v>436</v>
      </c>
      <c r="B6" s="185" t="s">
        <v>426</v>
      </c>
      <c r="C6" s="185" t="s">
        <v>461</v>
      </c>
      <c r="D6" s="186">
        <f>D27*1000/D18</f>
        <v>234.53843250683462</v>
      </c>
    </row>
    <row r="7" spans="1:5" x14ac:dyDescent="0.2">
      <c r="A7" s="187" t="s">
        <v>437</v>
      </c>
      <c r="B7" s="188" t="s">
        <v>427</v>
      </c>
      <c r="C7" s="188" t="s">
        <v>461</v>
      </c>
      <c r="D7" s="189">
        <f>D28*1000/D18</f>
        <v>1.8604942500301294</v>
      </c>
    </row>
    <row r="8" spans="1:5" ht="16.5" x14ac:dyDescent="0.2">
      <c r="A8" s="184" t="s">
        <v>438</v>
      </c>
      <c r="B8" s="185" t="s">
        <v>428</v>
      </c>
      <c r="C8" s="185" t="s">
        <v>476</v>
      </c>
      <c r="D8" s="186">
        <f>D29*1000/D19</f>
        <v>210.68512303980449</v>
      </c>
    </row>
    <row r="9" spans="1:5" x14ac:dyDescent="0.2">
      <c r="A9" s="187" t="s">
        <v>439</v>
      </c>
      <c r="B9" s="188" t="s">
        <v>429</v>
      </c>
      <c r="C9" s="188" t="s">
        <v>461</v>
      </c>
      <c r="D9" s="189">
        <f>D30*1000/D18</f>
        <v>72.13746328962975</v>
      </c>
    </row>
    <row r="10" spans="1:5" ht="16.5" x14ac:dyDescent="0.2">
      <c r="A10" s="184" t="s">
        <v>440</v>
      </c>
      <c r="B10" s="185" t="s">
        <v>430</v>
      </c>
      <c r="C10" s="185" t="s">
        <v>476</v>
      </c>
      <c r="D10" s="186">
        <f>D31*1000/D19</f>
        <v>553.70858337990057</v>
      </c>
    </row>
    <row r="11" spans="1:5" x14ac:dyDescent="0.2">
      <c r="A11" s="187" t="s">
        <v>441</v>
      </c>
      <c r="B11" s="188" t="s">
        <v>431</v>
      </c>
      <c r="C11" s="188" t="s">
        <v>461</v>
      </c>
      <c r="D11" s="189">
        <f>D32*1000/D18</f>
        <v>37.975014747578541</v>
      </c>
    </row>
    <row r="12" spans="1:5" x14ac:dyDescent="0.2">
      <c r="A12" s="184" t="s">
        <v>442</v>
      </c>
      <c r="B12" s="185" t="s">
        <v>432</v>
      </c>
      <c r="C12" s="185" t="s">
        <v>461</v>
      </c>
      <c r="D12" s="186">
        <f>D33*1000/D18</f>
        <v>15.139657983038699</v>
      </c>
    </row>
    <row r="13" spans="1:5" ht="15" thickBot="1" x14ac:dyDescent="0.25">
      <c r="A13" s="191" t="s">
        <v>443</v>
      </c>
      <c r="B13" s="192" t="s">
        <v>433</v>
      </c>
      <c r="C13" s="192" t="s">
        <v>21</v>
      </c>
      <c r="D13" s="193">
        <f>D34/D21</f>
        <v>6.6478885170909397E-3</v>
      </c>
    </row>
    <row r="16" spans="1:5" ht="15" thickBot="1" x14ac:dyDescent="0.25"/>
    <row r="17" spans="2:5" ht="21" customHeight="1" x14ac:dyDescent="0.2">
      <c r="B17" s="543" t="s">
        <v>449</v>
      </c>
      <c r="C17" s="544" t="s">
        <v>454</v>
      </c>
      <c r="D17" s="545" t="s">
        <v>470</v>
      </c>
    </row>
    <row r="18" spans="2:5" x14ac:dyDescent="0.2">
      <c r="B18" s="184" t="s">
        <v>444</v>
      </c>
      <c r="C18" s="185" t="s">
        <v>457</v>
      </c>
      <c r="D18" s="209">
        <f>'DE1 - Dados Oper. - Histórico'!H9+'DE1 - Dados Oper. - Histórico'!H18</f>
        <v>2522448</v>
      </c>
    </row>
    <row r="19" spans="2:5" ht="16.5" x14ac:dyDescent="0.2">
      <c r="B19" s="187" t="s">
        <v>445</v>
      </c>
      <c r="C19" s="188" t="s">
        <v>699</v>
      </c>
      <c r="D19" s="210">
        <f>'DE1 - Dados Oper. - Histórico'!H10</f>
        <v>388746.00549999991</v>
      </c>
    </row>
    <row r="20" spans="2:5" ht="16.5" x14ac:dyDescent="0.2">
      <c r="B20" s="184" t="s">
        <v>448</v>
      </c>
      <c r="C20" s="185" t="s">
        <v>699</v>
      </c>
      <c r="D20" s="209">
        <f>'DE1 - Dados Oper. - Histórico'!H11</f>
        <v>281550.77100000001</v>
      </c>
    </row>
    <row r="21" spans="2:5" x14ac:dyDescent="0.2">
      <c r="B21" s="187" t="s">
        <v>446</v>
      </c>
      <c r="C21" s="188" t="s">
        <v>700</v>
      </c>
      <c r="D21" s="210">
        <f>'DE4 - DRE - Histórico'!K14</f>
        <v>2360900</v>
      </c>
    </row>
    <row r="22" spans="2:5" x14ac:dyDescent="0.2">
      <c r="B22" s="184" t="s">
        <v>450</v>
      </c>
      <c r="C22" s="185" t="s">
        <v>700</v>
      </c>
      <c r="D22" s="209">
        <f>'DE4 - DRE - Histórico'!K7</f>
        <v>1477546</v>
      </c>
    </row>
    <row r="23" spans="2:5" x14ac:dyDescent="0.2">
      <c r="B23" s="187" t="s">
        <v>456</v>
      </c>
      <c r="C23" s="188" t="s">
        <v>700</v>
      </c>
      <c r="D23" s="210">
        <f>'DE4 - DRE - Histórico'!K9</f>
        <v>359689</v>
      </c>
    </row>
    <row r="24" spans="2:5" ht="16.5" x14ac:dyDescent="0.2">
      <c r="B24" s="184" t="s">
        <v>447</v>
      </c>
      <c r="C24" s="185" t="s">
        <v>476</v>
      </c>
      <c r="D24" s="194">
        <f>D22/D20</f>
        <v>5.2478847589445952</v>
      </c>
    </row>
    <row r="25" spans="2:5" x14ac:dyDescent="0.2">
      <c r="B25" s="187" t="s">
        <v>455</v>
      </c>
      <c r="C25" s="188" t="s">
        <v>461</v>
      </c>
      <c r="D25" s="385">
        <f>D23*1000/D18</f>
        <v>142.59520909846307</v>
      </c>
      <c r="E25" s="195"/>
    </row>
    <row r="26" spans="2:5" x14ac:dyDescent="0.2">
      <c r="B26" s="184" t="s">
        <v>713</v>
      </c>
      <c r="C26" s="185" t="s">
        <v>459</v>
      </c>
      <c r="D26" s="209">
        <f>'DE2 - Nº Funcionários-Histórico'!G5</f>
        <v>5067</v>
      </c>
    </row>
    <row r="27" spans="2:5" x14ac:dyDescent="0.2">
      <c r="B27" s="187" t="s">
        <v>469</v>
      </c>
      <c r="C27" s="188" t="s">
        <v>700</v>
      </c>
      <c r="D27" s="210">
        <f>-'DE4 - DRE - Histórico'!K19</f>
        <v>591611</v>
      </c>
    </row>
    <row r="28" spans="2:5" x14ac:dyDescent="0.2">
      <c r="B28" s="184" t="s">
        <v>462</v>
      </c>
      <c r="C28" s="185" t="s">
        <v>700</v>
      </c>
      <c r="D28" s="209">
        <f>-('DE4 - DRE - Histórico'!K30+'DE4 - DRE - Histórico'!K38)</f>
        <v>4693</v>
      </c>
    </row>
    <row r="29" spans="2:5" x14ac:dyDescent="0.2">
      <c r="B29" s="187" t="s">
        <v>463</v>
      </c>
      <c r="C29" s="188" t="s">
        <v>700</v>
      </c>
      <c r="D29" s="210">
        <f>-'DE4 - DRE - Histórico'!K20</f>
        <v>81903</v>
      </c>
    </row>
    <row r="30" spans="2:5" x14ac:dyDescent="0.2">
      <c r="B30" s="184" t="s">
        <v>464</v>
      </c>
      <c r="C30" s="185" t="s">
        <v>700</v>
      </c>
      <c r="D30" s="209">
        <f>-('DE4 - DRE - Histórico'!K22+'DE4 - DRE - Histórico'!K32+'DE4 - DRE - Histórico'!K40)</f>
        <v>181963</v>
      </c>
    </row>
    <row r="31" spans="2:5" x14ac:dyDescent="0.2">
      <c r="B31" s="187" t="s">
        <v>465</v>
      </c>
      <c r="C31" s="188" t="s">
        <v>700</v>
      </c>
      <c r="D31" s="210">
        <f>-('DE4 - DRE - Histórico'!K21+'DE4 - DRE - Histórico'!K31+'DE4 - DRE - Histórico'!K39)</f>
        <v>215252</v>
      </c>
    </row>
    <row r="32" spans="2:5" x14ac:dyDescent="0.2">
      <c r="B32" s="184" t="s">
        <v>468</v>
      </c>
      <c r="C32" s="185" t="s">
        <v>700</v>
      </c>
      <c r="D32" s="209">
        <f>-('DE4 - DRE - Histórico'!K23+'DE4 - DRE - Histórico'!K34+'DE4 - DRE - Histórico'!K42+'DE4 - DRE - Histórico'!K33+'DE4 - DRE - Histórico'!K41)</f>
        <v>95790</v>
      </c>
    </row>
    <row r="33" spans="2:4" x14ac:dyDescent="0.2">
      <c r="B33" s="187" t="s">
        <v>466</v>
      </c>
      <c r="C33" s="188" t="s">
        <v>700</v>
      </c>
      <c r="D33" s="210">
        <f>-'DE4 - DRE - Histórico'!K44</f>
        <v>38189</v>
      </c>
    </row>
    <row r="34" spans="2:4" ht="15" thickBot="1" x14ac:dyDescent="0.25">
      <c r="B34" s="196" t="s">
        <v>467</v>
      </c>
      <c r="C34" s="197" t="s">
        <v>700</v>
      </c>
      <c r="D34" s="211">
        <f>-'DE4 - DRE - Histórico'!K46</f>
        <v>15695</v>
      </c>
    </row>
  </sheetData>
  <mergeCells count="1">
    <mergeCell ref="A1:D1"/>
  </mergeCells>
  <phoneticPr fontId="2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8F60-1B94-4A6B-8BF2-7C8B1B019FC7}">
  <sheetPr codeName="Planilha20">
    <tabColor theme="8" tint="0.39997558519241921"/>
  </sheetPr>
  <dimension ref="A1:I64"/>
  <sheetViews>
    <sheetView zoomScale="115" zoomScaleNormal="115" workbookViewId="0">
      <selection activeCell="J21" sqref="J21"/>
    </sheetView>
  </sheetViews>
  <sheetFormatPr defaultColWidth="8.85546875" defaultRowHeight="12.75" x14ac:dyDescent="0.25"/>
  <cols>
    <col min="1" max="1" width="4.7109375" style="1" customWidth="1"/>
    <col min="2" max="2" width="38.5703125" style="1" customWidth="1"/>
    <col min="3" max="3" width="9.85546875" style="28" customWidth="1"/>
    <col min="4" max="8" width="13.7109375" style="28" customWidth="1"/>
    <col min="9" max="16384" width="8.85546875" style="1"/>
  </cols>
  <sheetData>
    <row r="1" spans="1:8" x14ac:dyDescent="0.25">
      <c r="A1" s="1" t="s">
        <v>474</v>
      </c>
    </row>
    <row r="2" spans="1:8" ht="18" x14ac:dyDescent="0.25">
      <c r="A2" s="597" t="s">
        <v>733</v>
      </c>
      <c r="B2" s="597"/>
      <c r="C2" s="597"/>
      <c r="D2" s="597"/>
      <c r="E2" s="597"/>
      <c r="F2" s="597"/>
      <c r="G2" s="597"/>
      <c r="H2" s="597"/>
    </row>
    <row r="3" spans="1:8" ht="15" customHeight="1" thickBot="1" x14ac:dyDescent="0.3">
      <c r="A3" s="15"/>
      <c r="B3" s="2"/>
      <c r="C3" s="4"/>
      <c r="D3" s="4"/>
      <c r="E3" s="3"/>
      <c r="F3" s="3"/>
      <c r="G3" s="3"/>
      <c r="H3" s="4"/>
    </row>
    <row r="4" spans="1:8" ht="32.25" customHeight="1" thickBot="1" x14ac:dyDescent="0.3">
      <c r="A4" s="198"/>
      <c r="B4" s="205" t="s">
        <v>599</v>
      </c>
      <c r="C4" s="205" t="s">
        <v>0</v>
      </c>
      <c r="D4" s="205" t="s">
        <v>473</v>
      </c>
      <c r="E4" s="205">
        <v>2021</v>
      </c>
      <c r="F4" s="205">
        <v>2022</v>
      </c>
      <c r="G4" s="205">
        <v>2023</v>
      </c>
      <c r="H4" s="206">
        <v>2024</v>
      </c>
    </row>
    <row r="5" spans="1:8" ht="15" customHeight="1" x14ac:dyDescent="0.25">
      <c r="A5" s="571" t="s">
        <v>5</v>
      </c>
      <c r="B5" s="71" t="s">
        <v>6</v>
      </c>
      <c r="C5" s="72" t="s">
        <v>3</v>
      </c>
      <c r="D5" s="75">
        <v>5828597.2300000004</v>
      </c>
      <c r="E5" s="75">
        <v>5951097.283999512</v>
      </c>
      <c r="F5" s="75">
        <v>6052943.7534958236</v>
      </c>
      <c r="G5" s="75">
        <v>6155918.1796403015</v>
      </c>
      <c r="H5" s="199">
        <v>6255555.4990848945</v>
      </c>
    </row>
    <row r="6" spans="1:8" ht="15" customHeight="1" x14ac:dyDescent="0.25">
      <c r="A6" s="571"/>
      <c r="B6" s="68" t="s">
        <v>9</v>
      </c>
      <c r="C6" s="4" t="s">
        <v>3</v>
      </c>
      <c r="D6" s="69">
        <v>2270106</v>
      </c>
      <c r="E6" s="69">
        <v>2336315.7251172876</v>
      </c>
      <c r="F6" s="69">
        <v>2401024.0538301007</v>
      </c>
      <c r="G6" s="69">
        <v>2467824.6251209076</v>
      </c>
      <c r="H6" s="70">
        <v>2536795.1612828951</v>
      </c>
    </row>
    <row r="7" spans="1:8" ht="15" customHeight="1" x14ac:dyDescent="0.25">
      <c r="A7" s="571"/>
      <c r="B7" s="71" t="s">
        <v>10</v>
      </c>
      <c r="C7" s="72" t="s">
        <v>3</v>
      </c>
      <c r="D7" s="75">
        <v>2471517</v>
      </c>
      <c r="E7" s="75">
        <v>2536940.1141700014</v>
      </c>
      <c r="F7" s="75">
        <v>2600309.5490925256</v>
      </c>
      <c r="G7" s="75">
        <v>2665393.591544068</v>
      </c>
      <c r="H7" s="76">
        <v>2730075.7575525255</v>
      </c>
    </row>
    <row r="8" spans="1:8" ht="15" customHeight="1" x14ac:dyDescent="0.25">
      <c r="A8" s="571"/>
      <c r="B8" s="68" t="s">
        <v>13</v>
      </c>
      <c r="C8" s="4" t="s">
        <v>12</v>
      </c>
      <c r="D8" s="69">
        <v>388746.00549999991</v>
      </c>
      <c r="E8" s="69">
        <v>393865.77506455343</v>
      </c>
      <c r="F8" s="69">
        <v>399344.93752870674</v>
      </c>
      <c r="G8" s="69">
        <v>405210.39647547097</v>
      </c>
      <c r="H8" s="70">
        <v>411492.14884860587</v>
      </c>
    </row>
    <row r="9" spans="1:8" ht="15" customHeight="1" x14ac:dyDescent="0.25">
      <c r="A9" s="571"/>
      <c r="B9" s="71" t="s">
        <v>11</v>
      </c>
      <c r="C9" s="72" t="s">
        <v>12</v>
      </c>
      <c r="D9" s="75">
        <v>281550.77100000001</v>
      </c>
      <c r="E9" s="75">
        <v>292184.01656238904</v>
      </c>
      <c r="F9" s="75">
        <v>299324.01534057234</v>
      </c>
      <c r="G9" s="75">
        <v>306683.01422164188</v>
      </c>
      <c r="H9" s="76">
        <v>313981.75831237552</v>
      </c>
    </row>
    <row r="10" spans="1:8" ht="15" customHeight="1" thickBot="1" x14ac:dyDescent="0.3">
      <c r="A10" s="572"/>
      <c r="B10" s="68" t="s">
        <v>14</v>
      </c>
      <c r="C10" s="4" t="s">
        <v>15</v>
      </c>
      <c r="D10" s="77">
        <f>(D8-D9)/D8</f>
        <v>0.27574620184746806</v>
      </c>
      <c r="E10" s="77">
        <f>(E8-E9)/E8</f>
        <v>0.25816347837153164</v>
      </c>
      <c r="F10" s="77">
        <f t="shared" ref="F10:H10" si="0">(F8-F9)/F8</f>
        <v>0.25046247689303547</v>
      </c>
      <c r="G10" s="77">
        <f t="shared" si="0"/>
        <v>0.24315117062844996</v>
      </c>
      <c r="H10" s="78">
        <f t="shared" si="0"/>
        <v>0.23696780317455313</v>
      </c>
    </row>
    <row r="11" spans="1:8" ht="15" customHeight="1" x14ac:dyDescent="0.25">
      <c r="A11" s="573" t="s">
        <v>16</v>
      </c>
      <c r="B11" s="200" t="s">
        <v>6</v>
      </c>
      <c r="C11" s="201" t="s">
        <v>3</v>
      </c>
      <c r="D11" s="202">
        <v>3870527.7899999991</v>
      </c>
      <c r="E11" s="202">
        <v>4004073.0072910544</v>
      </c>
      <c r="F11" s="202">
        <v>4242830.3539783238</v>
      </c>
      <c r="G11" s="202">
        <v>4441347.1342100566</v>
      </c>
      <c r="H11" s="199">
        <v>4588601.1404241845</v>
      </c>
    </row>
    <row r="12" spans="1:8" ht="15" customHeight="1" x14ac:dyDescent="0.25">
      <c r="A12" s="571"/>
      <c r="B12" s="84" t="s">
        <v>9</v>
      </c>
      <c r="C12" s="28" t="s">
        <v>3</v>
      </c>
      <c r="D12" s="23">
        <v>1261018</v>
      </c>
      <c r="E12" s="23">
        <v>1338028.477677871</v>
      </c>
      <c r="F12" s="23">
        <v>1426483.1397462785</v>
      </c>
      <c r="G12" s="23">
        <v>1510876.1400201796</v>
      </c>
      <c r="H12" s="83">
        <v>1580602.0133271473</v>
      </c>
    </row>
    <row r="13" spans="1:8" ht="15" customHeight="1" x14ac:dyDescent="0.25">
      <c r="A13" s="571"/>
      <c r="B13" s="71" t="s">
        <v>18</v>
      </c>
      <c r="C13" s="72" t="s">
        <v>3</v>
      </c>
      <c r="D13" s="75">
        <v>1428560</v>
      </c>
      <c r="E13" s="75">
        <v>1521047.8030829169</v>
      </c>
      <c r="F13" s="75">
        <v>1630320.3700612932</v>
      </c>
      <c r="G13" s="75">
        <v>1735566.9527213096</v>
      </c>
      <c r="H13" s="76">
        <v>1817115.6063251069</v>
      </c>
    </row>
    <row r="14" spans="1:8" ht="15" customHeight="1" x14ac:dyDescent="0.25">
      <c r="A14" s="571"/>
      <c r="B14" s="84" t="s">
        <v>19</v>
      </c>
      <c r="C14" s="28" t="s">
        <v>3</v>
      </c>
      <c r="D14" s="23">
        <v>50931</v>
      </c>
      <c r="E14" s="23">
        <v>51617.150198961033</v>
      </c>
      <c r="F14" s="23">
        <v>52455.205530856889</v>
      </c>
      <c r="G14" s="23">
        <v>53465.479863837463</v>
      </c>
      <c r="H14" s="83">
        <v>54673.942178716236</v>
      </c>
    </row>
    <row r="15" spans="1:8" ht="15" customHeight="1" x14ac:dyDescent="0.25">
      <c r="A15" s="571"/>
      <c r="B15" s="71" t="s">
        <v>20</v>
      </c>
      <c r="C15" s="72" t="s">
        <v>8</v>
      </c>
      <c r="D15" s="73">
        <f t="shared" ref="D15:H15" si="1">D14/D13</f>
        <v>3.5651985215881726E-2</v>
      </c>
      <c r="E15" s="73">
        <f t="shared" si="1"/>
        <v>3.3935258375405071E-2</v>
      </c>
      <c r="F15" s="73">
        <f t="shared" si="1"/>
        <v>3.2174783860968864E-2</v>
      </c>
      <c r="G15" s="73">
        <f t="shared" si="1"/>
        <v>3.0805772015885309E-2</v>
      </c>
      <c r="H15" s="74">
        <f t="shared" si="1"/>
        <v>3.0088312481828038E-2</v>
      </c>
    </row>
    <row r="16" spans="1:8" ht="15" customHeight="1" x14ac:dyDescent="0.25">
      <c r="A16" s="571"/>
      <c r="B16" s="84" t="s">
        <v>22</v>
      </c>
      <c r="C16" s="28" t="s">
        <v>12</v>
      </c>
      <c r="D16" s="23">
        <v>172183.12599999999</v>
      </c>
      <c r="E16" s="23">
        <v>181108.69386297074</v>
      </c>
      <c r="F16" s="23">
        <v>194487.84716711278</v>
      </c>
      <c r="G16" s="23">
        <v>206399.48152467082</v>
      </c>
      <c r="H16" s="83">
        <v>217449.53258227449</v>
      </c>
    </row>
    <row r="17" spans="1:9" ht="15" customHeight="1" x14ac:dyDescent="0.25">
      <c r="A17" s="571"/>
      <c r="B17" s="71" t="s">
        <v>23</v>
      </c>
      <c r="C17" s="72" t="s">
        <v>12</v>
      </c>
      <c r="D17" s="75">
        <v>159726.89600000001</v>
      </c>
      <c r="E17" s="75">
        <v>168482.04670111727</v>
      </c>
      <c r="F17" s="75">
        <v>180950.19754647565</v>
      </c>
      <c r="G17" s="75">
        <v>192068.65194419216</v>
      </c>
      <c r="H17" s="76">
        <v>202416.96472234844</v>
      </c>
    </row>
    <row r="18" spans="1:9" ht="15" customHeight="1" thickBot="1" x14ac:dyDescent="0.3">
      <c r="A18" s="572"/>
      <c r="B18" s="428" t="s">
        <v>24</v>
      </c>
      <c r="C18" s="429" t="s">
        <v>8</v>
      </c>
      <c r="D18" s="203">
        <f>D17/D16</f>
        <v>0.92765708063634533</v>
      </c>
      <c r="E18" s="203">
        <f t="shared" ref="E18:H18" si="2">E17/E16</f>
        <v>0.93028138576601427</v>
      </c>
      <c r="F18" s="203">
        <f t="shared" si="2"/>
        <v>0.93039333913236766</v>
      </c>
      <c r="G18" s="203">
        <f t="shared" si="2"/>
        <v>0.930567511727176</v>
      </c>
      <c r="H18" s="204">
        <f t="shared" si="2"/>
        <v>0.93086870465339666</v>
      </c>
    </row>
    <row r="19" spans="1:9" ht="15" customHeight="1" x14ac:dyDescent="0.25">
      <c r="A19" s="573" t="s">
        <v>478</v>
      </c>
      <c r="B19" s="200" t="s">
        <v>483</v>
      </c>
      <c r="C19" s="201" t="s">
        <v>3</v>
      </c>
      <c r="D19" s="202">
        <f>D7+D14</f>
        <v>2522448</v>
      </c>
      <c r="E19" s="202">
        <f t="shared" ref="E19:H19" si="3">E7+E14</f>
        <v>2588557.2643689625</v>
      </c>
      <c r="F19" s="202">
        <f t="shared" si="3"/>
        <v>2652764.7546233824</v>
      </c>
      <c r="G19" s="202">
        <f t="shared" si="3"/>
        <v>2718859.0714079053</v>
      </c>
      <c r="H19" s="199">
        <f t="shared" si="3"/>
        <v>2784749.6997312419</v>
      </c>
    </row>
    <row r="20" spans="1:9" ht="15" customHeight="1" x14ac:dyDescent="0.25">
      <c r="A20" s="571"/>
      <c r="B20" s="84" t="s">
        <v>484</v>
      </c>
      <c r="C20" s="28" t="s">
        <v>486</v>
      </c>
      <c r="D20" s="23">
        <f>'DE2 - Nº Funcionários-Histórico'!G5</f>
        <v>5067</v>
      </c>
      <c r="E20" s="23">
        <f>E19*('IN - Indicadores'!$D4/1000)</f>
        <v>5199.797838670027</v>
      </c>
      <c r="F20" s="23">
        <f>F19*('IN - Indicadores'!$D4/1000)</f>
        <v>5328.7754640241055</v>
      </c>
      <c r="G20" s="23">
        <f>G19*('IN - Indicadores'!$D4/1000)</f>
        <v>5461.5432765408268</v>
      </c>
      <c r="H20" s="83">
        <f>H19*('IN - Indicadores'!$D4/1000)</f>
        <v>5593.9019272302949</v>
      </c>
    </row>
    <row r="21" spans="1:9" ht="15" customHeight="1" thickBot="1" x14ac:dyDescent="0.3">
      <c r="A21" s="572"/>
      <c r="B21" s="300" t="s">
        <v>485</v>
      </c>
      <c r="C21" s="303" t="s">
        <v>486</v>
      </c>
      <c r="D21" s="301">
        <f>'DE2 - Nº Funcionários-Histórico'!G6</f>
        <v>749</v>
      </c>
      <c r="E21" s="301">
        <f>D21</f>
        <v>749</v>
      </c>
      <c r="F21" s="301">
        <f t="shared" ref="F21:H21" si="4">E21</f>
        <v>749</v>
      </c>
      <c r="G21" s="301">
        <f t="shared" si="4"/>
        <v>749</v>
      </c>
      <c r="H21" s="302">
        <f t="shared" si="4"/>
        <v>749</v>
      </c>
    </row>
    <row r="22" spans="1:9" ht="15" customHeight="1" x14ac:dyDescent="0.25">
      <c r="A22" s="299" t="s">
        <v>25</v>
      </c>
      <c r="B22" s="2"/>
      <c r="C22" s="2"/>
      <c r="D22" s="2"/>
      <c r="E22" s="4"/>
      <c r="F22" s="4"/>
      <c r="G22" s="4"/>
      <c r="H22" s="4"/>
    </row>
    <row r="23" spans="1:9" s="15" customFormat="1" ht="15" customHeight="1" x14ac:dyDescent="0.25">
      <c r="A23" s="299" t="s">
        <v>26</v>
      </c>
      <c r="B23" s="2"/>
      <c r="C23" s="2"/>
      <c r="D23" s="2"/>
      <c r="E23" s="14"/>
      <c r="F23" s="14"/>
      <c r="G23" s="14"/>
      <c r="H23" s="14"/>
      <c r="I23" s="1"/>
    </row>
    <row r="24" spans="1:9" s="15" customFormat="1" ht="15" customHeight="1" x14ac:dyDescent="0.25">
      <c r="A24" s="2"/>
      <c r="B24" s="2"/>
      <c r="C24" s="2"/>
      <c r="D24" s="2"/>
      <c r="E24" s="4"/>
      <c r="F24" s="4"/>
      <c r="G24" s="4"/>
      <c r="H24" s="16"/>
    </row>
    <row r="25" spans="1:9" s="15" customFormat="1" ht="15" customHeight="1" x14ac:dyDescent="0.25">
      <c r="A25" s="2"/>
      <c r="B25" s="2"/>
      <c r="C25" s="2"/>
      <c r="D25" s="2"/>
      <c r="E25" s="3"/>
      <c r="F25" s="3"/>
      <c r="G25" s="3"/>
      <c r="H25" s="3"/>
    </row>
    <row r="26" spans="1:9" s="15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15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15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15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15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15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15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 x14ac:dyDescent="0.25">
      <c r="A35" s="2"/>
      <c r="B35" s="2"/>
      <c r="C35" s="2"/>
      <c r="D35" s="2"/>
      <c r="E35" s="17"/>
      <c r="F35" s="17"/>
      <c r="G35" s="17"/>
      <c r="H35" s="17"/>
    </row>
    <row r="36" spans="1:8" s="15" customFormat="1" ht="15" customHeight="1" x14ac:dyDescent="0.25">
      <c r="A36" s="2"/>
      <c r="B36" s="2"/>
      <c r="C36" s="2"/>
      <c r="D36" s="2"/>
      <c r="E36" s="17"/>
      <c r="F36" s="17"/>
      <c r="G36" s="17"/>
      <c r="H36" s="17"/>
    </row>
    <row r="37" spans="1:8" ht="15" customHeight="1" x14ac:dyDescent="0.25">
      <c r="A37" s="574"/>
      <c r="B37" s="574"/>
      <c r="C37" s="574"/>
      <c r="D37" s="574"/>
      <c r="E37" s="574"/>
      <c r="F37" s="574"/>
      <c r="G37" s="427"/>
      <c r="H37" s="19"/>
    </row>
    <row r="38" spans="1:8" ht="15" customHeight="1" x14ac:dyDescent="0.25">
      <c r="A38" s="21"/>
      <c r="B38" s="21"/>
      <c r="C38" s="21"/>
      <c r="D38" s="21"/>
      <c r="E38" s="23"/>
      <c r="F38" s="23"/>
      <c r="G38" s="23"/>
      <c r="H38" s="24"/>
    </row>
    <row r="39" spans="1:8" ht="15" customHeight="1" x14ac:dyDescent="0.25">
      <c r="A39" s="89"/>
      <c r="B39" s="427"/>
      <c r="C39" s="90"/>
      <c r="D39" s="90"/>
      <c r="E39" s="427"/>
      <c r="F39" s="427"/>
      <c r="G39" s="427"/>
      <c r="H39" s="24"/>
    </row>
    <row r="40" spans="1:8" ht="15" customHeight="1" x14ac:dyDescent="0.25">
      <c r="A40" s="91"/>
      <c r="B40" s="26"/>
      <c r="C40" s="1"/>
      <c r="D40" s="1"/>
      <c r="E40" s="27"/>
      <c r="F40" s="27"/>
      <c r="G40" s="27"/>
      <c r="H40" s="24"/>
    </row>
    <row r="41" spans="1:8" ht="15" customHeight="1" x14ac:dyDescent="0.25">
      <c r="A41" s="91"/>
      <c r="B41" s="26"/>
      <c r="C41" s="1"/>
      <c r="D41" s="1"/>
      <c r="E41" s="27"/>
      <c r="F41" s="27"/>
      <c r="G41" s="27"/>
    </row>
    <row r="42" spans="1:8" ht="15" customHeight="1" x14ac:dyDescent="0.25">
      <c r="A42" s="92"/>
      <c r="C42" s="1"/>
      <c r="D42" s="1"/>
      <c r="E42" s="19"/>
      <c r="F42" s="19"/>
      <c r="G42" s="19"/>
    </row>
    <row r="43" spans="1:8" ht="15" customHeight="1" x14ac:dyDescent="0.25">
      <c r="A43" s="93"/>
      <c r="C43" s="1"/>
      <c r="D43" s="1"/>
      <c r="E43" s="19"/>
      <c r="F43" s="19"/>
      <c r="G43" s="19"/>
      <c r="H43" s="427"/>
    </row>
    <row r="44" spans="1:8" ht="15" customHeight="1" x14ac:dyDescent="0.25">
      <c r="C44" s="1"/>
      <c r="D44" s="1"/>
      <c r="H44" s="30"/>
    </row>
    <row r="45" spans="1:8" ht="15" customHeight="1" x14ac:dyDescent="0.25">
      <c r="A45" s="93"/>
      <c r="C45" s="1"/>
      <c r="D45" s="1"/>
      <c r="E45" s="19"/>
      <c r="F45" s="19"/>
      <c r="G45" s="19"/>
      <c r="H45" s="30"/>
    </row>
    <row r="46" spans="1:8" ht="15" customHeight="1" x14ac:dyDescent="0.25">
      <c r="A46" s="89"/>
      <c r="B46" s="427"/>
      <c r="C46" s="90"/>
      <c r="D46" s="90"/>
      <c r="E46" s="32"/>
      <c r="F46" s="32"/>
      <c r="G46" s="32"/>
      <c r="H46" s="33"/>
    </row>
    <row r="47" spans="1:8" ht="15" customHeight="1" x14ac:dyDescent="0.25">
      <c r="A47" s="94"/>
      <c r="C47" s="1"/>
      <c r="D47" s="1"/>
      <c r="E47" s="19"/>
      <c r="F47" s="19"/>
      <c r="G47" s="19"/>
      <c r="H47" s="35"/>
    </row>
    <row r="48" spans="1:8" ht="15" customHeight="1" x14ac:dyDescent="0.25">
      <c r="A48" s="94"/>
      <c r="C48" s="1"/>
      <c r="D48" s="1"/>
      <c r="E48" s="19"/>
      <c r="F48" s="19"/>
      <c r="G48" s="19"/>
      <c r="H48" s="37"/>
    </row>
    <row r="49" spans="1:8" ht="15" customHeight="1" x14ac:dyDescent="0.25">
      <c r="A49" s="93"/>
      <c r="B49" s="39"/>
      <c r="C49" s="95"/>
      <c r="D49" s="95"/>
      <c r="E49" s="40"/>
      <c r="F49" s="40"/>
      <c r="G49" s="40"/>
      <c r="H49" s="427"/>
    </row>
    <row r="50" spans="1:8" ht="15" customHeight="1" thickBot="1" x14ac:dyDescent="0.3">
      <c r="A50" s="96"/>
      <c r="B50" s="427"/>
      <c r="C50" s="90"/>
      <c r="D50" s="90"/>
      <c r="E50" s="32"/>
      <c r="F50" s="32"/>
      <c r="G50" s="32"/>
      <c r="H50" s="427"/>
    </row>
    <row r="51" spans="1:8" ht="15" customHeight="1" x14ac:dyDescent="0.25">
      <c r="A51" s="21"/>
      <c r="C51" s="1"/>
      <c r="D51" s="1"/>
      <c r="E51" s="23"/>
      <c r="F51" s="427"/>
      <c r="G51" s="427"/>
      <c r="H51" s="41"/>
    </row>
    <row r="52" spans="1:8" ht="15" customHeight="1" x14ac:dyDescent="0.25">
      <c r="A52" s="42"/>
      <c r="B52" s="42"/>
      <c r="C52" s="42"/>
      <c r="D52" s="42"/>
      <c r="E52" s="43"/>
      <c r="F52" s="43"/>
      <c r="G52" s="43"/>
      <c r="H52" s="41"/>
    </row>
    <row r="53" spans="1:8" ht="15" customHeight="1" x14ac:dyDescent="0.25">
      <c r="A53" s="42"/>
      <c r="B53" s="42"/>
      <c r="C53" s="42"/>
      <c r="D53" s="42"/>
      <c r="E53" s="43"/>
      <c r="F53" s="43"/>
      <c r="G53" s="43"/>
      <c r="H53" s="44"/>
    </row>
    <row r="54" spans="1:8" ht="15" customHeight="1" x14ac:dyDescent="0.25">
      <c r="A54" s="97"/>
      <c r="B54" s="45"/>
      <c r="C54" s="45"/>
      <c r="D54" s="45"/>
      <c r="E54" s="46"/>
      <c r="F54" s="46"/>
      <c r="G54" s="46"/>
      <c r="H54" s="47"/>
    </row>
    <row r="55" spans="1:8" ht="15" customHeight="1" x14ac:dyDescent="0.25">
      <c r="A55" s="42"/>
      <c r="B55" s="45"/>
      <c r="C55" s="42"/>
      <c r="D55" s="42"/>
      <c r="E55" s="46"/>
      <c r="F55" s="46"/>
      <c r="G55" s="46"/>
      <c r="H55" s="43"/>
    </row>
    <row r="56" spans="1:8" ht="15" customHeight="1" x14ac:dyDescent="0.25">
      <c r="A56" s="49"/>
      <c r="B56" s="45"/>
      <c r="C56" s="42"/>
      <c r="D56" s="42"/>
      <c r="E56" s="46"/>
      <c r="F56" s="46"/>
      <c r="G56" s="46"/>
      <c r="H56" s="48"/>
    </row>
    <row r="57" spans="1:8" ht="15" customHeight="1" x14ac:dyDescent="0.25">
      <c r="A57" s="51"/>
      <c r="B57" s="49"/>
      <c r="C57" s="49"/>
      <c r="D57" s="49"/>
      <c r="E57" s="48"/>
      <c r="F57" s="48"/>
      <c r="G57" s="48"/>
      <c r="H57" s="50"/>
    </row>
    <row r="58" spans="1:8" ht="15" customHeight="1" x14ac:dyDescent="0.25">
      <c r="A58" s="52"/>
      <c r="B58" s="51"/>
      <c r="C58" s="51"/>
      <c r="D58" s="51"/>
      <c r="E58" s="50"/>
      <c r="F58" s="50"/>
      <c r="G58" s="50"/>
    </row>
    <row r="59" spans="1:8" ht="15" customHeight="1" x14ac:dyDescent="0.25">
      <c r="A59" s="52"/>
      <c r="B59" s="52"/>
      <c r="C59" s="54"/>
      <c r="D59" s="54"/>
      <c r="E59" s="53"/>
      <c r="F59" s="54"/>
      <c r="G59" s="54"/>
    </row>
    <row r="60" spans="1:8" ht="15" customHeight="1" x14ac:dyDescent="0.25">
      <c r="A60" s="52"/>
      <c r="B60" s="52"/>
      <c r="C60" s="54"/>
      <c r="D60" s="54"/>
      <c r="E60" s="53"/>
      <c r="F60" s="53"/>
      <c r="G60" s="53"/>
    </row>
    <row r="61" spans="1:8" ht="15" customHeight="1" x14ac:dyDescent="0.25">
      <c r="A61" s="55"/>
      <c r="B61" s="52"/>
      <c r="C61" s="54"/>
      <c r="D61" s="54"/>
      <c r="E61" s="53"/>
      <c r="F61" s="53"/>
      <c r="G61" s="53"/>
    </row>
    <row r="62" spans="1:8" ht="15" customHeight="1" x14ac:dyDescent="0.25">
      <c r="A62" s="55"/>
      <c r="B62" s="55"/>
      <c r="C62" s="56"/>
      <c r="D62" s="56"/>
      <c r="E62" s="54"/>
      <c r="F62" s="54"/>
      <c r="G62" s="54"/>
    </row>
    <row r="63" spans="1:8" ht="15" customHeight="1" x14ac:dyDescent="0.25">
      <c r="A63" s="55"/>
      <c r="B63" s="55"/>
      <c r="C63" s="56"/>
      <c r="D63" s="56"/>
      <c r="E63" s="56"/>
      <c r="F63" s="54"/>
      <c r="G63" s="54"/>
    </row>
    <row r="64" spans="1:8" ht="15" customHeight="1" x14ac:dyDescent="0.25">
      <c r="B64" s="55"/>
      <c r="C64" s="55"/>
      <c r="D64" s="55"/>
      <c r="E64" s="54"/>
      <c r="F64" s="54"/>
      <c r="G64" s="54"/>
    </row>
  </sheetData>
  <mergeCells count="5">
    <mergeCell ref="A2:H2"/>
    <mergeCell ref="A37:F37"/>
    <mergeCell ref="A5:A10"/>
    <mergeCell ref="A11:A18"/>
    <mergeCell ref="A19:A21"/>
  </mergeCells>
  <pageMargins left="0.511811024" right="0.511811024" top="0.78740157499999996" bottom="0.78740157499999996" header="0.31496062000000002" footer="0.31496062000000002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8146-FFB7-43C6-A628-68B4B91BCD88}">
  <sheetPr codeName="Planilha21">
    <tabColor theme="8" tint="0.39997558519241921"/>
  </sheetPr>
  <dimension ref="A1:J19"/>
  <sheetViews>
    <sheetView workbookViewId="0">
      <selection activeCell="E13" sqref="E13:H13"/>
    </sheetView>
  </sheetViews>
  <sheetFormatPr defaultColWidth="9.140625" defaultRowHeight="14.25" x14ac:dyDescent="0.25"/>
  <cols>
    <col min="1" max="1" width="25" style="61" customWidth="1"/>
    <col min="2" max="3" width="16.140625" style="61" customWidth="1"/>
    <col min="4" max="8" width="15.7109375" style="61" customWidth="1"/>
    <col min="9" max="16384" width="9.140625" style="61"/>
  </cols>
  <sheetData>
    <row r="1" spans="1:10" s="1" customFormat="1" ht="12.75" x14ac:dyDescent="0.25">
      <c r="A1" s="1" t="s">
        <v>474</v>
      </c>
      <c r="C1" s="28"/>
      <c r="D1" s="28"/>
      <c r="E1" s="28"/>
      <c r="F1" s="28"/>
      <c r="G1" s="28"/>
      <c r="H1" s="28"/>
    </row>
    <row r="2" spans="1:10" s="546" customFormat="1" ht="18" x14ac:dyDescent="0.25">
      <c r="A2" s="597" t="s">
        <v>734</v>
      </c>
      <c r="B2" s="597"/>
      <c r="C2" s="597"/>
      <c r="D2" s="597"/>
      <c r="E2" s="597"/>
      <c r="F2" s="597"/>
      <c r="G2" s="597"/>
      <c r="H2" s="597"/>
    </row>
    <row r="3" spans="1:10" ht="15" thickBot="1" x14ac:dyDescent="0.3"/>
    <row r="4" spans="1:10" ht="30" x14ac:dyDescent="0.25">
      <c r="A4" s="558" t="s">
        <v>600</v>
      </c>
      <c r="B4" s="600"/>
      <c r="C4" s="305" t="s">
        <v>0</v>
      </c>
      <c r="D4" s="305" t="s">
        <v>473</v>
      </c>
      <c r="E4" s="305">
        <v>2021</v>
      </c>
      <c r="F4" s="305">
        <v>2022</v>
      </c>
      <c r="G4" s="305">
        <v>2023</v>
      </c>
      <c r="H4" s="306">
        <v>2024</v>
      </c>
    </row>
    <row r="5" spans="1:10" ht="20.100000000000001" customHeight="1" x14ac:dyDescent="0.25">
      <c r="A5" s="611" t="s">
        <v>477</v>
      </c>
      <c r="B5" s="612"/>
      <c r="C5" s="319" t="s">
        <v>3</v>
      </c>
      <c r="D5" s="320">
        <f>-('DE4 - DRE - Histórico'!K19+'DE4 - DRE - Histórico'!K29+'DE4 - DRE - Histórico'!K37)</f>
        <v>1025045</v>
      </c>
      <c r="E5" s="320">
        <f>('P1 - Projeções Dados Oper.'!E20*($D18/1000))+('P1 - Projeções Dados Oper.'!E21*($D19/1000))</f>
        <v>1040550.1632392764</v>
      </c>
      <c r="F5" s="320">
        <f>('P1 - Projeções Dados Oper.'!F20*($D18/1000))+('P1 - Projeções Dados Oper.'!F21*($D19/1000))</f>
        <v>1055609.2873587459</v>
      </c>
      <c r="G5" s="320">
        <f>('P1 - Projeções Dados Oper.'!G20*($D18/1000))+('P1 - Projeções Dados Oper.'!G21*($D19/1000))</f>
        <v>1071110.9448149982</v>
      </c>
      <c r="H5" s="321">
        <f>('P1 - Projeções Dados Oper.'!H20*($D18/1000))+('P1 - Projeções Dados Oper.'!H21*($D19/1000))</f>
        <v>1086564.8294988438</v>
      </c>
      <c r="J5" s="207"/>
    </row>
    <row r="6" spans="1:10" ht="20.100000000000001" customHeight="1" x14ac:dyDescent="0.25">
      <c r="A6" s="603" t="s">
        <v>480</v>
      </c>
      <c r="B6" s="308" t="s">
        <v>108</v>
      </c>
      <c r="C6" s="307" t="s">
        <v>3</v>
      </c>
      <c r="D6" s="311">
        <f>-('DE4 - DRE - Histórico'!K30+'DE4 - DRE - Histórico'!K38)</f>
        <v>4693</v>
      </c>
      <c r="E6" s="311">
        <f>('IN - Indicadores'!$D7*'P1 - Projeções Dados Oper.'!E$19)/1000</f>
        <v>4815.9959062321759</v>
      </c>
      <c r="F6" s="311">
        <f>('IN - Indicadores'!$D7*'P1 - Projeções Dados Oper.'!F$19)/1000</f>
        <v>4935.4535726593904</v>
      </c>
      <c r="G6" s="311">
        <f>('IN - Indicadores'!$D7*'P1 - Projeções Dados Oper.'!G$19)/1000</f>
        <v>5058.4216689966643</v>
      </c>
      <c r="H6" s="312">
        <f>('IN - Indicadores'!$D7*'P1 - Projeções Dados Oper.'!H$19)/1000</f>
        <v>5181.0108041231042</v>
      </c>
    </row>
    <row r="7" spans="1:10" ht="20.100000000000001" customHeight="1" x14ac:dyDescent="0.25">
      <c r="A7" s="603"/>
      <c r="B7" s="322" t="s">
        <v>479</v>
      </c>
      <c r="C7" s="323" t="s">
        <v>3</v>
      </c>
      <c r="D7" s="324">
        <f>-'DE4 - DRE - Histórico'!K20</f>
        <v>81903</v>
      </c>
      <c r="E7" s="324">
        <f>('IN - Indicadores'!$D8*'P1 - Projeções Dados Oper.'!E$8)/1000</f>
        <v>82981.659280643406</v>
      </c>
      <c r="F7" s="324">
        <f>('IN - Indicadores'!$D8*'P1 - Projeções Dados Oper.'!F$8)/1000</f>
        <v>84136.037298558629</v>
      </c>
      <c r="G7" s="324">
        <f>('IN - Indicadores'!$D8*'P1 - Projeções Dados Oper.'!G$8)/1000</f>
        <v>85371.802238442571</v>
      </c>
      <c r="H7" s="325">
        <f>('IN - Indicadores'!$D8*'P1 - Projeções Dados Oper.'!H$8)/1000</f>
        <v>86695.274010082067</v>
      </c>
    </row>
    <row r="8" spans="1:10" ht="20.100000000000001" customHeight="1" x14ac:dyDescent="0.25">
      <c r="A8" s="605" t="s">
        <v>481</v>
      </c>
      <c r="B8" s="606"/>
      <c r="C8" s="208" t="s">
        <v>3</v>
      </c>
      <c r="D8" s="309">
        <f>-('DE4 - DRE - Histórico'!K22+'DE4 - DRE - Histórico'!K32+'DE4 - DRE - Histórico'!K40)</f>
        <v>181963</v>
      </c>
      <c r="E8" s="309">
        <f>('IN - Indicadores'!$D9*'P1 - Projeções Dados Oper.'!E$19)/1000</f>
        <v>186731.95463152046</v>
      </c>
      <c r="F8" s="309">
        <f>('IN - Indicadores'!$D9*'P1 - Projeções Dados Oper.'!F$19)/1000</f>
        <v>191363.72010266792</v>
      </c>
      <c r="G8" s="309">
        <f>('IN - Indicadores'!$D9*'P1 - Projeções Dados Oper.'!G$19)/1000</f>
        <v>196131.59645336462</v>
      </c>
      <c r="H8" s="310">
        <f>('IN - Indicadores'!$D9*'P1 - Projeções Dados Oper.'!H$19)/1000</f>
        <v>200884.77923516996</v>
      </c>
    </row>
    <row r="9" spans="1:10" ht="20.100000000000001" customHeight="1" x14ac:dyDescent="0.25">
      <c r="A9" s="603" t="s">
        <v>106</v>
      </c>
      <c r="B9" s="604"/>
      <c r="C9" s="307" t="s">
        <v>3</v>
      </c>
      <c r="D9" s="311">
        <f>-('DE4 - DRE - Histórico'!K21+'DE4 - DRE - Histórico'!K31+'DE4 - DRE - Histórico'!K39)</f>
        <v>215252</v>
      </c>
      <c r="E9" s="311">
        <f>('IN - Indicadores'!$D10*'P1 - Projeções Dados Oper.'!E$8)/1000</f>
        <v>218086.86035282045</v>
      </c>
      <c r="F9" s="311">
        <f>('IN - Indicadores'!$D10*'P1 - Projeções Dados Oper.'!F$8)/1000</f>
        <v>221120.71963895508</v>
      </c>
      <c r="G9" s="311">
        <f>('IN - Indicadores'!$D10*'P1 - Projeções Dados Oper.'!G$8)/1000</f>
        <v>224368.47460324087</v>
      </c>
      <c r="H9" s="312">
        <f>('IN - Indicadores'!$D10*'P1 - Projeções Dados Oper.'!H$8)/1000</f>
        <v>227846.73481091272</v>
      </c>
    </row>
    <row r="10" spans="1:10" ht="20.100000000000001" customHeight="1" x14ac:dyDescent="0.25">
      <c r="A10" s="605" t="s">
        <v>468</v>
      </c>
      <c r="B10" s="606"/>
      <c r="C10" s="208" t="s">
        <v>3</v>
      </c>
      <c r="D10" s="309">
        <f>-('DE4 - DRE - Histórico'!K23+'DE4 - DRE - Histórico'!K34+'DE4 - DRE - Histórico'!K42+'DE4 - DRE - Histórico'!K33+'DE4 - DRE - Histórico'!K41)</f>
        <v>95790</v>
      </c>
      <c r="E10" s="309">
        <f>('IN - Indicadores'!$D11*'P1 - Projeções Dados Oper.'!E$19)/1000</f>
        <v>98300.500289362928</v>
      </c>
      <c r="F10" s="309">
        <f>('IN - Indicadores'!$D11*'P1 - Projeções Dados Oper.'!F$19)/1000</f>
        <v>100738.78067867951</v>
      </c>
      <c r="G10" s="309">
        <f>('IN - Indicadores'!$D11*'P1 - Projeções Dados Oper.'!G$19)/1000</f>
        <v>103248.71333330291</v>
      </c>
      <c r="H10" s="310">
        <f>('IN - Indicadores'!$D11*'P1 - Projeções Dados Oper.'!H$19)/1000</f>
        <v>105750.91091560882</v>
      </c>
    </row>
    <row r="11" spans="1:10" ht="20.100000000000001" customHeight="1" x14ac:dyDescent="0.25">
      <c r="A11" s="603" t="s">
        <v>116</v>
      </c>
      <c r="B11" s="604"/>
      <c r="C11" s="307" t="s">
        <v>3</v>
      </c>
      <c r="D11" s="311">
        <f>-'DE4 - DRE - Histórico'!K46</f>
        <v>15695</v>
      </c>
      <c r="E11" s="311">
        <f>'IN - Indicadores'!$D$13*RESULTADO!D18</f>
        <v>18882.909258917876</v>
      </c>
      <c r="F11" s="311">
        <f>'IN - Indicadores'!$D$13*RESULTADO!E18</f>
        <v>19651.059763762081</v>
      </c>
      <c r="G11" s="311">
        <f>'IN - Indicadores'!$D$13*RESULTADO!F18</f>
        <v>20378.37662952131</v>
      </c>
      <c r="H11" s="312">
        <f>'IN - Indicadores'!$D$13*RESULTADO!G18</f>
        <v>21074.067074039856</v>
      </c>
    </row>
    <row r="12" spans="1:10" ht="20.100000000000001" customHeight="1" thickBot="1" x14ac:dyDescent="0.3">
      <c r="A12" s="605" t="s">
        <v>482</v>
      </c>
      <c r="B12" s="606"/>
      <c r="C12" s="208" t="s">
        <v>3</v>
      </c>
      <c r="D12" s="309">
        <f>-('DE4 - DRE - Histórico'!K44)</f>
        <v>38189</v>
      </c>
      <c r="E12" s="309">
        <f>('IN - Indicadores'!$D12*'P1 - Projeções Dados Oper.'!E$19)/1000</f>
        <v>39189.871652056383</v>
      </c>
      <c r="F12" s="309">
        <f>('IN - Indicadores'!$D12*'P1 - Projeções Dados Oper.'!F$19)/1000</f>
        <v>40161.951094457589</v>
      </c>
      <c r="G12" s="309">
        <f>('IN - Indicadores'!$D12*'P1 - Projeções Dados Oper.'!G$19)/1000</f>
        <v>41162.59644519788</v>
      </c>
      <c r="H12" s="310">
        <f>('IN - Indicadores'!$D12*'P1 - Projeções Dados Oper.'!H$19)/1000</f>
        <v>42160.158022300719</v>
      </c>
    </row>
    <row r="13" spans="1:10" ht="20.100000000000001" customHeight="1" thickBot="1" x14ac:dyDescent="0.3">
      <c r="A13" s="607" t="s">
        <v>451</v>
      </c>
      <c r="B13" s="608"/>
      <c r="C13" s="326" t="s">
        <v>3</v>
      </c>
      <c r="D13" s="327">
        <f>SUM(D5:D12)</f>
        <v>1658530</v>
      </c>
      <c r="E13" s="327">
        <f>SUM(E5:E12)</f>
        <v>1689539.9146108301</v>
      </c>
      <c r="F13" s="327">
        <f>SUM(F5:F12)</f>
        <v>1717717.0095084861</v>
      </c>
      <c r="G13" s="327">
        <f>SUM(G5:G12)</f>
        <v>1746830.926187065</v>
      </c>
      <c r="H13" s="328">
        <f>SUM(H5:H12)</f>
        <v>1776157.764371081</v>
      </c>
    </row>
    <row r="16" spans="1:10" ht="15" thickBot="1" x14ac:dyDescent="0.3"/>
    <row r="17" spans="1:6" ht="30.75" thickBot="1" x14ac:dyDescent="0.3">
      <c r="A17" s="601" t="s">
        <v>608</v>
      </c>
      <c r="B17" s="602"/>
      <c r="C17" s="304" t="s">
        <v>0</v>
      </c>
      <c r="D17" s="306" t="s">
        <v>473</v>
      </c>
    </row>
    <row r="18" spans="1:6" ht="29.25" customHeight="1" x14ac:dyDescent="0.25">
      <c r="A18" s="609" t="s">
        <v>609</v>
      </c>
      <c r="B18" s="610"/>
      <c r="C18" s="329" t="s">
        <v>487</v>
      </c>
      <c r="D18" s="330">
        <f>(-('DE4 - DRE - Histórico'!K19)*1000)/'P1 - Projeções Dados Oper.'!D20</f>
        <v>116757.64752318927</v>
      </c>
      <c r="E18" s="480"/>
      <c r="F18" s="480">
        <f>D18/12</f>
        <v>9729.8039602657718</v>
      </c>
    </row>
    <row r="19" spans="1:6" ht="32.25" customHeight="1" thickBot="1" x14ac:dyDescent="0.3">
      <c r="A19" s="598" t="s">
        <v>610</v>
      </c>
      <c r="B19" s="599"/>
      <c r="C19" s="331" t="s">
        <v>487</v>
      </c>
      <c r="D19" s="332">
        <f>(-('DE4 - DRE - Histórico'!K29+'DE4 - DRE - Histórico'!K37)*1000)/'P1 - Projeções Dados Oper.'!D21</f>
        <v>578683.57810413884</v>
      </c>
      <c r="E19" s="480"/>
      <c r="F19" s="480">
        <f>D19/12</f>
        <v>48223.631508678234</v>
      </c>
    </row>
  </sheetData>
  <mergeCells count="13">
    <mergeCell ref="A2:H2"/>
    <mergeCell ref="A19:B19"/>
    <mergeCell ref="A4:B4"/>
    <mergeCell ref="A17:B17"/>
    <mergeCell ref="A11:B11"/>
    <mergeCell ref="A12:B12"/>
    <mergeCell ref="A13:B13"/>
    <mergeCell ref="A18:B18"/>
    <mergeCell ref="A6:A7"/>
    <mergeCell ref="A5:B5"/>
    <mergeCell ref="A8:B8"/>
    <mergeCell ref="A9:B9"/>
    <mergeCell ref="A10:B10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C34-E16A-4530-B7CA-957BDA4977D6}">
  <sheetPr codeName="Planilha22">
    <tabColor theme="8" tint="0.39997558519241921"/>
  </sheetPr>
  <dimension ref="A2:G44"/>
  <sheetViews>
    <sheetView workbookViewId="0">
      <selection activeCell="A2" sqref="A2:G2"/>
    </sheetView>
  </sheetViews>
  <sheetFormatPr defaultColWidth="9.140625" defaultRowHeight="16.5" x14ac:dyDescent="0.25"/>
  <cols>
    <col min="1" max="1" width="31.28515625" style="58" bestFit="1" customWidth="1"/>
    <col min="2" max="2" width="40" style="58" customWidth="1"/>
    <col min="3" max="7" width="15" style="58" customWidth="1"/>
    <col min="8" max="16384" width="9.140625" style="58"/>
  </cols>
  <sheetData>
    <row r="2" spans="1:7" ht="18" x14ac:dyDescent="0.25">
      <c r="A2" s="597" t="s">
        <v>510</v>
      </c>
      <c r="B2" s="597"/>
      <c r="C2" s="597"/>
      <c r="D2" s="597"/>
      <c r="E2" s="597"/>
      <c r="F2" s="597"/>
      <c r="G2" s="597"/>
    </row>
    <row r="3" spans="1:7" x14ac:dyDescent="0.25">
      <c r="A3" s="57"/>
    </row>
    <row r="4" spans="1:7" x14ac:dyDescent="0.25">
      <c r="A4" s="518" t="s">
        <v>511</v>
      </c>
      <c r="B4" s="518" t="s">
        <v>512</v>
      </c>
      <c r="C4" s="518">
        <v>2020</v>
      </c>
      <c r="D4" s="518">
        <v>2021</v>
      </c>
      <c r="E4" s="518">
        <f t="shared" ref="E4:G4" si="0">D4+1</f>
        <v>2022</v>
      </c>
      <c r="F4" s="518">
        <f t="shared" si="0"/>
        <v>2023</v>
      </c>
      <c r="G4" s="518">
        <f t="shared" si="0"/>
        <v>2024</v>
      </c>
    </row>
    <row r="5" spans="1:7" ht="6" customHeight="1" x14ac:dyDescent="0.25">
      <c r="C5" s="255"/>
      <c r="D5" s="255"/>
      <c r="E5" s="255"/>
      <c r="F5" s="255"/>
      <c r="G5" s="255"/>
    </row>
    <row r="6" spans="1:7" x14ac:dyDescent="0.25">
      <c r="A6" s="520" t="s">
        <v>513</v>
      </c>
      <c r="B6" s="520"/>
      <c r="C6" s="521">
        <f>SUM(C7:C10)</f>
        <v>709509</v>
      </c>
      <c r="D6" s="521">
        <f t="shared" ref="D6:G6" si="1">SUM(D7:D10)</f>
        <v>726769.65191249328</v>
      </c>
      <c r="E6" s="521">
        <f t="shared" si="1"/>
        <v>751598.29299314052</v>
      </c>
      <c r="F6" s="521">
        <f t="shared" si="1"/>
        <v>775398.96445586707</v>
      </c>
      <c r="G6" s="521">
        <f t="shared" si="1"/>
        <v>798373.3119163044</v>
      </c>
    </row>
    <row r="7" spans="1:7" ht="27.6" customHeight="1" x14ac:dyDescent="0.25">
      <c r="A7" s="251" t="s">
        <v>514</v>
      </c>
      <c r="B7" s="256" t="s">
        <v>612</v>
      </c>
      <c r="C7" s="257">
        <f>'DE5 - DFC - Histórico'!K35</f>
        <v>168144</v>
      </c>
      <c r="D7" s="257">
        <f>'P2 - Projeção OPEX'!E13/12</f>
        <v>140794.99288423583</v>
      </c>
      <c r="E7" s="257">
        <f>'P2 - Projeção OPEX'!F13/12</f>
        <v>143143.08412570719</v>
      </c>
      <c r="F7" s="257">
        <f>'P2 - Projeção OPEX'!G13/12</f>
        <v>145569.24384892208</v>
      </c>
      <c r="G7" s="257">
        <f>'P2 - Projeção OPEX'!H13/12</f>
        <v>148013.14703092343</v>
      </c>
    </row>
    <row r="8" spans="1:7" ht="27.6" customHeight="1" x14ac:dyDescent="0.25">
      <c r="A8" s="251" t="s">
        <v>515</v>
      </c>
      <c r="B8" s="256" t="s">
        <v>516</v>
      </c>
      <c r="C8" s="257">
        <f>B25</f>
        <v>490455</v>
      </c>
      <c r="D8" s="410">
        <f>($B$25/$B$32)*RESULTADO!D18</f>
        <v>534363.94790630648</v>
      </c>
      <c r="E8" s="410">
        <f>($B$25/$B$32)*RESULTADO!E18</f>
        <v>556101.69661475392</v>
      </c>
      <c r="F8" s="410">
        <f>($B$25/$B$32)*RESULTADO!F18</f>
        <v>576683.90174198523</v>
      </c>
      <c r="G8" s="410">
        <f>($B$25/$B$32)*RESULTADO!G18</f>
        <v>596371.11663860164</v>
      </c>
    </row>
    <row r="9" spans="1:7" ht="30" customHeight="1" x14ac:dyDescent="0.25">
      <c r="A9" s="251" t="s">
        <v>517</v>
      </c>
      <c r="B9" s="256" t="s">
        <v>518</v>
      </c>
      <c r="C9" s="257">
        <f>B26</f>
        <v>50496</v>
      </c>
      <c r="D9" s="257">
        <f>$B$26/($B$36+$B$37)*('P2 - Projeção OPEX'!E6+'P2 - Projeção OPEX'!E7)</f>
        <v>51196.711121951004</v>
      </c>
      <c r="E9" s="257">
        <f>$B$26/($B$36+$B$37)*('P2 - Projeção OPEX'!F6+'P2 - Projeção OPEX'!F7)</f>
        <v>51939.512252679393</v>
      </c>
      <c r="F9" s="257">
        <f>$B$26/($B$36+$B$37)*('P2 - Projeção OPEX'!G6+'P2 - Projeção OPEX'!G7)</f>
        <v>52731.818864959721</v>
      </c>
      <c r="G9" s="257">
        <f>$B$26/($B$36+$B$37)*('P2 - Projeção OPEX'!H6+'P2 - Projeção OPEX'!H7)</f>
        <v>53575.048246779341</v>
      </c>
    </row>
    <row r="10" spans="1:7" ht="27.6" customHeight="1" x14ac:dyDescent="0.25">
      <c r="A10" s="251" t="s">
        <v>519</v>
      </c>
      <c r="B10" s="256" t="s">
        <v>520</v>
      </c>
      <c r="C10" s="257">
        <f>B27</f>
        <v>414</v>
      </c>
      <c r="D10" s="257">
        <f>C10</f>
        <v>414</v>
      </c>
      <c r="E10" s="257">
        <f t="shared" ref="E10:G10" si="2">D10</f>
        <v>414</v>
      </c>
      <c r="F10" s="257">
        <f t="shared" si="2"/>
        <v>414</v>
      </c>
      <c r="G10" s="257">
        <f t="shared" si="2"/>
        <v>414</v>
      </c>
    </row>
    <row r="11" spans="1:7" ht="27.6" customHeight="1" x14ac:dyDescent="0.25">
      <c r="C11" s="258"/>
      <c r="D11" s="258"/>
      <c r="E11" s="258"/>
      <c r="F11" s="258"/>
      <c r="G11" s="258"/>
    </row>
    <row r="12" spans="1:7" x14ac:dyDescent="0.25">
      <c r="A12" s="520" t="s">
        <v>521</v>
      </c>
      <c r="B12" s="520"/>
      <c r="C12" s="521">
        <f>SUM(C13:C16)</f>
        <v>311400</v>
      </c>
      <c r="D12" s="521">
        <f>SUM(D13:D16)</f>
        <v>317390.96214718866</v>
      </c>
      <c r="E12" s="521">
        <f>SUM(E13:E16)</f>
        <v>322789.92813571647</v>
      </c>
      <c r="F12" s="521">
        <f>SUM(F13:F16)</f>
        <v>328371.07601966831</v>
      </c>
      <c r="G12" s="521">
        <f>SUM(G13:G16)</f>
        <v>334000.46545384068</v>
      </c>
    </row>
    <row r="13" spans="1:7" ht="54" customHeight="1" x14ac:dyDescent="0.25">
      <c r="A13" s="251" t="s">
        <v>60</v>
      </c>
      <c r="B13" s="259" t="s">
        <v>522</v>
      </c>
      <c r="C13" s="257">
        <f>B28</f>
        <v>118057</v>
      </c>
      <c r="D13" s="257">
        <f>($B$28/($B$36+$B$37+$B$38+$B$39+$B$40+$B$41+$B$42))*('P2 - Projeção OPEX'!E13-'P2 - Projeção OPEX'!E5)</f>
        <v>120946.48346475689</v>
      </c>
      <c r="E13" s="257">
        <f>($B$28/($B$36+$B$37+$B$38+$B$39+$B$40+$B$41+$B$42))*('P2 - Projeção OPEX'!F13-'P2 - Projeção OPEX'!F5)</f>
        <v>123391.16372736826</v>
      </c>
      <c r="F13" s="257">
        <f>($B$28/($B$36+$B$37+$B$38+$B$39+$B$40+$B$41+$B$42))*('P2 - Projeção OPEX'!G13-'P2 - Projeção OPEX'!G5)</f>
        <v>125927.96015823908</v>
      </c>
      <c r="G13" s="257">
        <f>($B$28/($B$36+$B$37+$B$38+$B$39+$B$40+$B$41+$B$42))*('P2 - Projeção OPEX'!H13-'P2 - Projeção OPEX'!H5)</f>
        <v>128513.33987736364</v>
      </c>
    </row>
    <row r="14" spans="1:7" ht="29.25" customHeight="1" x14ac:dyDescent="0.25">
      <c r="A14" s="251" t="s">
        <v>523</v>
      </c>
      <c r="B14" s="259" t="s">
        <v>524</v>
      </c>
      <c r="C14" s="257">
        <f>B29</f>
        <v>143801</v>
      </c>
      <c r="D14" s="257">
        <f>($B$29/$B$35)*'P2 - Projeção OPEX'!E5</f>
        <v>145976.18058131222</v>
      </c>
      <c r="E14" s="257">
        <f>($B$29/$B$35)*'P2 - Projeção OPEX'!F5</f>
        <v>148088.78744979491</v>
      </c>
      <c r="F14" s="257">
        <f>($B$29/$B$35)*'P2 - Projeção OPEX'!G5</f>
        <v>150263.47621357263</v>
      </c>
      <c r="G14" s="257">
        <f>($B$29/$B$35)*'P2 - Projeção OPEX'!H5</f>
        <v>152431.46305456175</v>
      </c>
    </row>
    <row r="15" spans="1:7" ht="27.6" customHeight="1" x14ac:dyDescent="0.25">
      <c r="A15" s="251" t="s">
        <v>525</v>
      </c>
      <c r="B15" s="251" t="s">
        <v>526</v>
      </c>
      <c r="C15" s="257">
        <f>B30</f>
        <v>33813</v>
      </c>
      <c r="D15" s="257">
        <f>($B$30/$B$34)*'P2 - Projeção OPEX'!E13</f>
        <v>34445.209391892822</v>
      </c>
      <c r="E15" s="257">
        <f>($B$30/$B$34)*'P2 - Projeção OPEX'!F13</f>
        <v>35019.665150772336</v>
      </c>
      <c r="F15" s="257">
        <f>($B$30/$B$34)*'P2 - Projeção OPEX'!G13</f>
        <v>35613.220205340411</v>
      </c>
      <c r="G15" s="257">
        <f>($B$30/$B$34)*'P2 - Projeção OPEX'!H13</f>
        <v>36211.11616110614</v>
      </c>
    </row>
    <row r="16" spans="1:7" ht="27.6" customHeight="1" x14ac:dyDescent="0.25">
      <c r="A16" s="251" t="s">
        <v>527</v>
      </c>
      <c r="B16" s="251" t="s">
        <v>528</v>
      </c>
      <c r="C16" s="257">
        <f>B31</f>
        <v>15729</v>
      </c>
      <c r="D16" s="257">
        <f>($B$31/$B$34)*'P2 - Projeção OPEX'!E13</f>
        <v>16023.088709226693</v>
      </c>
      <c r="E16" s="257">
        <f>($B$31/$B$34)*'P2 - Projeção OPEX'!F13</f>
        <v>16290.311807780974</v>
      </c>
      <c r="F16" s="257">
        <f>($B$31/$B$34)*'P2 - Projeção OPEX'!G13</f>
        <v>16566.41944251617</v>
      </c>
      <c r="G16" s="257">
        <f>($B$31/$B$34)*'P2 - Projeção OPEX'!H13</f>
        <v>16844.546360809109</v>
      </c>
    </row>
    <row r="17" spans="1:7" ht="6" customHeight="1" x14ac:dyDescent="0.25">
      <c r="C17" s="258"/>
      <c r="D17" s="258"/>
      <c r="E17" s="258"/>
      <c r="F17" s="258"/>
      <c r="G17" s="258"/>
    </row>
    <row r="18" spans="1:7" x14ac:dyDescent="0.25">
      <c r="A18" s="520" t="s">
        <v>529</v>
      </c>
      <c r="B18" s="520"/>
      <c r="C18" s="522"/>
      <c r="D18" s="522"/>
      <c r="E18" s="522"/>
      <c r="F18" s="522"/>
      <c r="G18" s="522"/>
    </row>
    <row r="19" spans="1:7" x14ac:dyDescent="0.25">
      <c r="A19" s="251" t="s">
        <v>530</v>
      </c>
      <c r="B19" s="251"/>
      <c r="C19" s="257">
        <f>C6-C12</f>
        <v>398109</v>
      </c>
      <c r="D19" s="257">
        <f>D6-D12</f>
        <v>409378.68976530462</v>
      </c>
      <c r="E19" s="257">
        <f>E6-E12</f>
        <v>428808.36485742405</v>
      </c>
      <c r="F19" s="257">
        <f>F6-F12</f>
        <v>447027.88843619876</v>
      </c>
      <c r="G19" s="257">
        <f>G6-G12</f>
        <v>464372.84646246373</v>
      </c>
    </row>
    <row r="20" spans="1:7" x14ac:dyDescent="0.25">
      <c r="A20" s="251" t="s">
        <v>531</v>
      </c>
      <c r="B20" s="251"/>
      <c r="C20" s="257"/>
      <c r="D20" s="257">
        <f>D19-C19</f>
        <v>11269.689765304618</v>
      </c>
      <c r="E20" s="257">
        <f t="shared" ref="E20:G20" si="3">E19-D19</f>
        <v>19429.675092119433</v>
      </c>
      <c r="F20" s="257">
        <f t="shared" si="3"/>
        <v>18219.523578774708</v>
      </c>
      <c r="G20" s="257">
        <f t="shared" si="3"/>
        <v>17344.958026264969</v>
      </c>
    </row>
    <row r="23" spans="1:7" x14ac:dyDescent="0.25">
      <c r="A23" s="613" t="s">
        <v>532</v>
      </c>
      <c r="B23" s="613"/>
      <c r="C23" s="249"/>
    </row>
    <row r="24" spans="1:7" x14ac:dyDescent="0.25">
      <c r="A24" s="520" t="s">
        <v>533</v>
      </c>
      <c r="B24" s="523" t="s">
        <v>534</v>
      </c>
      <c r="C24" s="255"/>
    </row>
    <row r="25" spans="1:7" ht="27.6" customHeight="1" x14ac:dyDescent="0.25">
      <c r="A25" s="251" t="s">
        <v>535</v>
      </c>
      <c r="B25" s="411">
        <f>'DE3 - BP - Histórico'!I8</f>
        <v>490455</v>
      </c>
    </row>
    <row r="26" spans="1:7" ht="27.6" customHeight="1" x14ac:dyDescent="0.25">
      <c r="A26" s="251" t="s">
        <v>517</v>
      </c>
      <c r="B26" s="261">
        <f>'DE3 - BP - Histórico'!I9</f>
        <v>50496</v>
      </c>
    </row>
    <row r="27" spans="1:7" ht="27.6" customHeight="1" x14ac:dyDescent="0.25">
      <c r="A27" s="251" t="s">
        <v>536</v>
      </c>
      <c r="B27" s="261">
        <f>'DE3 - BP - Histórico'!I14</f>
        <v>414</v>
      </c>
    </row>
    <row r="28" spans="1:7" ht="27.6" customHeight="1" x14ac:dyDescent="0.25">
      <c r="A28" s="251" t="s">
        <v>537</v>
      </c>
      <c r="B28" s="261">
        <f>'DE3 - BP - Histórico'!I38</f>
        <v>118057</v>
      </c>
    </row>
    <row r="29" spans="1:7" ht="27.6" customHeight="1" x14ac:dyDescent="0.25">
      <c r="A29" s="251" t="s">
        <v>538</v>
      </c>
      <c r="B29" s="261">
        <f>'DE3 - BP - Histórico'!I41</f>
        <v>143801</v>
      </c>
    </row>
    <row r="30" spans="1:7" ht="27.6" customHeight="1" x14ac:dyDescent="0.25">
      <c r="A30" s="251" t="s">
        <v>539</v>
      </c>
      <c r="B30" s="261">
        <f>'DE3 - BP - Histórico'!I42</f>
        <v>33813</v>
      </c>
    </row>
    <row r="31" spans="1:7" ht="27.6" customHeight="1" x14ac:dyDescent="0.25">
      <c r="A31" s="251" t="s">
        <v>540</v>
      </c>
      <c r="B31" s="261">
        <f>'DE3 - BP - Histórico'!I51</f>
        <v>15729</v>
      </c>
    </row>
    <row r="32" spans="1:7" ht="27.6" customHeight="1" x14ac:dyDescent="0.25">
      <c r="A32" s="251" t="s">
        <v>541</v>
      </c>
      <c r="B32" s="261">
        <f>'DE4 - DRE - Histórico'!K6+'DE4 - DRE - Histórico'!K15</f>
        <v>2607037</v>
      </c>
    </row>
    <row r="33" spans="1:7" ht="27.6" customHeight="1" x14ac:dyDescent="0.25">
      <c r="A33" s="251" t="s">
        <v>542</v>
      </c>
      <c r="B33" s="261">
        <f>'DE4 - DRE - Histórico'!K18*-1</f>
        <v>966044</v>
      </c>
    </row>
    <row r="34" spans="1:7" ht="27.6" customHeight="1" x14ac:dyDescent="0.25">
      <c r="A34" s="251" t="s">
        <v>543</v>
      </c>
      <c r="B34" s="261">
        <f>'P2 - Projeção OPEX'!D13</f>
        <v>1658530</v>
      </c>
      <c r="C34" s="337"/>
    </row>
    <row r="35" spans="1:7" ht="27.6" customHeight="1" x14ac:dyDescent="0.25">
      <c r="A35" s="251" t="s">
        <v>544</v>
      </c>
      <c r="B35" s="261">
        <f>'P2 - Projeção OPEX'!D5</f>
        <v>1025045</v>
      </c>
      <c r="C35" s="337"/>
    </row>
    <row r="36" spans="1:7" ht="27.6" customHeight="1" x14ac:dyDescent="0.25">
      <c r="A36" s="251" t="s">
        <v>545</v>
      </c>
      <c r="B36" s="261">
        <f>'P2 - Projeção OPEX'!D6</f>
        <v>4693</v>
      </c>
      <c r="C36" s="337"/>
    </row>
    <row r="37" spans="1:7" ht="27.6" customHeight="1" x14ac:dyDescent="0.25">
      <c r="A37" s="251" t="s">
        <v>546</v>
      </c>
      <c r="B37" s="261">
        <f>'P2 - Projeção OPEX'!D7</f>
        <v>81903</v>
      </c>
      <c r="C37" s="337"/>
    </row>
    <row r="38" spans="1:7" ht="27.6" customHeight="1" x14ac:dyDescent="0.25">
      <c r="A38" s="251" t="s">
        <v>547</v>
      </c>
      <c r="B38" s="261">
        <f>'P2 - Projeção OPEX'!D8</f>
        <v>181963</v>
      </c>
      <c r="C38" s="337"/>
    </row>
    <row r="39" spans="1:7" ht="27.6" customHeight="1" x14ac:dyDescent="0.25">
      <c r="A39" s="251" t="s">
        <v>548</v>
      </c>
      <c r="B39" s="261">
        <f>'P2 - Projeção OPEX'!D9</f>
        <v>215252</v>
      </c>
      <c r="C39" s="337"/>
    </row>
    <row r="40" spans="1:7" ht="27.6" customHeight="1" x14ac:dyDescent="0.25">
      <c r="A40" s="251" t="s">
        <v>549</v>
      </c>
      <c r="B40" s="261">
        <f>'P2 - Projeção OPEX'!D10</f>
        <v>95790</v>
      </c>
      <c r="C40" s="337"/>
    </row>
    <row r="41" spans="1:7" ht="27.6" customHeight="1" x14ac:dyDescent="0.25">
      <c r="A41" s="251" t="s">
        <v>550</v>
      </c>
      <c r="B41" s="261">
        <f>'P2 - Projeção OPEX'!D11</f>
        <v>15695</v>
      </c>
      <c r="C41" s="337"/>
    </row>
    <row r="42" spans="1:7" ht="27.6" customHeight="1" x14ac:dyDescent="0.25">
      <c r="A42" s="251" t="s">
        <v>551</v>
      </c>
      <c r="B42" s="261">
        <f>'P2 - Projeção OPEX'!D12</f>
        <v>38189</v>
      </c>
      <c r="C42" s="337"/>
    </row>
    <row r="44" spans="1:7" x14ac:dyDescent="0.25">
      <c r="G44" s="255"/>
    </row>
  </sheetData>
  <mergeCells count="2">
    <mergeCell ref="A23:B23"/>
    <mergeCell ref="A2:G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CDDC-F38E-48AD-9CA6-8F38F7522900}">
  <sheetPr codeName="Planilha23">
    <tabColor theme="8" tint="0.39997558519241921"/>
  </sheetPr>
  <dimension ref="A2:G10"/>
  <sheetViews>
    <sheetView workbookViewId="0">
      <selection activeCell="C19" sqref="C19"/>
    </sheetView>
  </sheetViews>
  <sheetFormatPr defaultColWidth="9.28515625" defaultRowHeight="16.5" x14ac:dyDescent="0.3"/>
  <cols>
    <col min="1" max="1" width="19.140625" style="212" bestFit="1" customWidth="1"/>
    <col min="2" max="2" width="32.85546875" style="212" customWidth="1"/>
    <col min="3" max="4" width="14.42578125" style="212" customWidth="1"/>
    <col min="5" max="6" width="15.28515625" style="212" customWidth="1"/>
    <col min="7" max="7" width="9.7109375" style="212" customWidth="1"/>
    <col min="8" max="8" width="12" style="212" bestFit="1" customWidth="1"/>
    <col min="9" max="9" width="11.28515625" style="212" bestFit="1" customWidth="1"/>
    <col min="10" max="10" width="17.7109375" style="212" bestFit="1" customWidth="1"/>
    <col min="11" max="11" width="12.7109375" style="212" bestFit="1" customWidth="1"/>
    <col min="12" max="12" width="16.42578125" style="212" bestFit="1" customWidth="1"/>
    <col min="13" max="18" width="12" style="212" bestFit="1" customWidth="1"/>
    <col min="19" max="19" width="9.28515625" style="212"/>
    <col min="20" max="20" width="7.5703125" style="212" bestFit="1" customWidth="1"/>
    <col min="21" max="21" width="9" style="212" bestFit="1" customWidth="1"/>
    <col min="22" max="16384" width="9.28515625" style="212"/>
  </cols>
  <sheetData>
    <row r="2" spans="1:7" ht="18" x14ac:dyDescent="0.3">
      <c r="A2" s="597" t="s">
        <v>640</v>
      </c>
      <c r="B2" s="597"/>
      <c r="C2" s="597"/>
      <c r="D2" s="597"/>
      <c r="E2" s="597"/>
      <c r="F2" s="597"/>
    </row>
    <row r="3" spans="1:7" ht="17.25" thickBot="1" x14ac:dyDescent="0.35"/>
    <row r="4" spans="1:7" x14ac:dyDescent="0.3">
      <c r="A4" s="614" t="s">
        <v>641</v>
      </c>
      <c r="B4" s="615"/>
      <c r="C4" s="615"/>
      <c r="D4" s="615"/>
      <c r="E4" s="615"/>
      <c r="F4" s="616"/>
      <c r="G4" s="362"/>
    </row>
    <row r="5" spans="1:7" ht="25.5" x14ac:dyDescent="0.3">
      <c r="A5" s="524" t="s">
        <v>29</v>
      </c>
      <c r="B5" s="525" t="s">
        <v>642</v>
      </c>
      <c r="C5" s="526" t="s">
        <v>643</v>
      </c>
      <c r="D5" s="526" t="s">
        <v>644</v>
      </c>
      <c r="E5" s="526" t="s">
        <v>645</v>
      </c>
      <c r="F5" s="527" t="s">
        <v>646</v>
      </c>
    </row>
    <row r="6" spans="1:7" x14ac:dyDescent="0.3">
      <c r="A6" s="363" t="s">
        <v>647</v>
      </c>
      <c r="B6" s="364" t="s">
        <v>648</v>
      </c>
      <c r="C6" s="365">
        <v>1.7100132197140367E-2</v>
      </c>
      <c r="D6" s="370">
        <v>1.7100132197140367E-2</v>
      </c>
      <c r="E6" s="365">
        <v>0.94553994348778891</v>
      </c>
      <c r="F6" s="366">
        <f>E6*D6</f>
        <v>1.6168858031317821E-2</v>
      </c>
    </row>
    <row r="7" spans="1:7" ht="38.25" x14ac:dyDescent="0.3">
      <c r="A7" s="363" t="s">
        <v>488</v>
      </c>
      <c r="B7" s="364" t="s">
        <v>649</v>
      </c>
      <c r="C7" s="365">
        <v>0.14511700924416046</v>
      </c>
      <c r="D7" s="370">
        <v>1.7917577697894291E-2</v>
      </c>
      <c r="E7" s="365">
        <v>5.4460056512211051E-2</v>
      </c>
      <c r="F7" s="366">
        <f>E7*D7</f>
        <v>9.7579229398925553E-4</v>
      </c>
    </row>
    <row r="8" spans="1:7" ht="17.25" thickBot="1" x14ac:dyDescent="0.35">
      <c r="A8" s="367"/>
      <c r="B8" s="368"/>
      <c r="C8" s="369"/>
      <c r="D8" s="369"/>
      <c r="E8" s="369"/>
      <c r="F8" s="371">
        <f>SUM(F6:F7)</f>
        <v>1.7144650325307077E-2</v>
      </c>
    </row>
    <row r="10" spans="1:7" x14ac:dyDescent="0.3">
      <c r="A10" s="212" t="s">
        <v>650</v>
      </c>
      <c r="D10" s="362"/>
    </row>
  </sheetData>
  <mergeCells count="2">
    <mergeCell ref="A4:F4"/>
    <mergeCell ref="A2:F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929D-042E-4F81-A278-D91127AE288D}">
  <sheetPr codeName="Planilha24">
    <tabColor theme="1"/>
  </sheetPr>
  <dimension ref="A2:H33"/>
  <sheetViews>
    <sheetView workbookViewId="0">
      <selection activeCell="B2" sqref="B2:E2"/>
    </sheetView>
  </sheetViews>
  <sheetFormatPr defaultColWidth="9.140625" defaultRowHeight="16.5" x14ac:dyDescent="0.3"/>
  <cols>
    <col min="1" max="1" width="3.7109375" style="212" customWidth="1"/>
    <col min="2" max="2" width="62.140625" style="212" bestFit="1" customWidth="1"/>
    <col min="3" max="3" width="34.28515625" style="212" bestFit="1" customWidth="1"/>
    <col min="4" max="4" width="9.140625" style="212"/>
    <col min="5" max="5" width="17.7109375" style="212" bestFit="1" customWidth="1"/>
    <col min="6" max="6" width="13.5703125" style="212" bestFit="1" customWidth="1"/>
    <col min="7" max="7" width="46" style="212" bestFit="1" customWidth="1"/>
    <col min="8" max="8" width="14.5703125" style="212" bestFit="1" customWidth="1"/>
    <col min="9" max="16384" width="9.140625" style="212"/>
  </cols>
  <sheetData>
    <row r="2" spans="1:8" ht="18" x14ac:dyDescent="0.3">
      <c r="B2" s="597" t="s">
        <v>735</v>
      </c>
      <c r="C2" s="597"/>
      <c r="D2" s="597"/>
      <c r="E2" s="597"/>
    </row>
    <row r="3" spans="1:8" ht="17.25" thickBot="1" x14ac:dyDescent="0.35">
      <c r="A3" s="213"/>
      <c r="B3" s="214"/>
      <c r="C3" s="213"/>
      <c r="D3" s="213"/>
      <c r="E3" s="215"/>
    </row>
    <row r="4" spans="1:8" ht="17.25" thickBot="1" x14ac:dyDescent="0.35">
      <c r="A4" s="213"/>
      <c r="B4" s="623" t="s">
        <v>489</v>
      </c>
      <c r="C4" s="624"/>
      <c r="D4" s="624"/>
      <c r="E4" s="625"/>
    </row>
    <row r="5" spans="1:8" x14ac:dyDescent="0.3">
      <c r="A5" s="213"/>
      <c r="B5" s="216"/>
      <c r="C5" s="217"/>
      <c r="D5" s="217"/>
      <c r="E5" s="218"/>
    </row>
    <row r="6" spans="1:8" ht="17.25" thickBot="1" x14ac:dyDescent="0.35">
      <c r="A6" s="213"/>
      <c r="B6" s="216"/>
      <c r="C6" s="626" t="s">
        <v>490</v>
      </c>
      <c r="D6" s="626"/>
      <c r="E6" s="627"/>
      <c r="G6" s="219"/>
    </row>
    <row r="7" spans="1:8" ht="17.25" thickBot="1" x14ac:dyDescent="0.35">
      <c r="A7" s="213"/>
      <c r="B7" s="528"/>
      <c r="C7" s="628" t="s">
        <v>491</v>
      </c>
      <c r="D7" s="629"/>
      <c r="E7" s="529" t="s">
        <v>458</v>
      </c>
    </row>
    <row r="8" spans="1:8" x14ac:dyDescent="0.3">
      <c r="A8" s="213"/>
      <c r="B8" s="630" t="s">
        <v>705</v>
      </c>
      <c r="C8" s="220" t="s">
        <v>492</v>
      </c>
      <c r="D8" s="221"/>
      <c r="E8" s="222">
        <v>9736575389.9825153</v>
      </c>
      <c r="G8" s="223" t="s">
        <v>492</v>
      </c>
      <c r="H8" s="224">
        <f>E20</f>
        <v>9893171192.77141</v>
      </c>
    </row>
    <row r="9" spans="1:8" x14ac:dyDescent="0.3">
      <c r="A9" s="213"/>
      <c r="B9" s="630"/>
      <c r="C9" s="220" t="s">
        <v>493</v>
      </c>
      <c r="D9" s="221"/>
      <c r="E9" s="222">
        <v>167377086.60129941</v>
      </c>
      <c r="G9" s="223" t="s">
        <v>494</v>
      </c>
      <c r="H9" s="435">
        <v>263830855.11663836</v>
      </c>
    </row>
    <row r="10" spans="1:8" x14ac:dyDescent="0.3">
      <c r="A10" s="213"/>
      <c r="B10" s="630"/>
      <c r="C10" s="220" t="s">
        <v>495</v>
      </c>
      <c r="D10" s="221"/>
      <c r="E10" s="222">
        <v>5089776804.5464802</v>
      </c>
      <c r="G10" s="225" t="s">
        <v>496</v>
      </c>
      <c r="H10" s="226">
        <f>H9/H8</f>
        <v>2.6667976321829975E-2</v>
      </c>
    </row>
    <row r="11" spans="1:8" ht="17.25" thickBot="1" x14ac:dyDescent="0.35">
      <c r="A11" s="213"/>
      <c r="B11" s="630"/>
      <c r="C11" s="220" t="s">
        <v>497</v>
      </c>
      <c r="D11" s="221"/>
      <c r="E11" s="222">
        <v>257796441.09727815</v>
      </c>
      <c r="F11" s="227"/>
    </row>
    <row r="12" spans="1:8" x14ac:dyDescent="0.3">
      <c r="A12" s="213"/>
      <c r="B12" s="630"/>
      <c r="C12" s="220" t="s">
        <v>498</v>
      </c>
      <c r="D12" s="221"/>
      <c r="E12" s="222">
        <v>49171380.81186568</v>
      </c>
      <c r="G12" s="621" t="s">
        <v>499</v>
      </c>
      <c r="H12" s="622"/>
    </row>
    <row r="13" spans="1:8" ht="17.25" thickBot="1" x14ac:dyDescent="0.35">
      <c r="A13" s="213"/>
      <c r="B13" s="631"/>
      <c r="C13" s="228" t="s">
        <v>730</v>
      </c>
      <c r="D13" s="229"/>
      <c r="E13" s="230">
        <f>E8-E9-E10-E11</f>
        <v>4221625057.7374578</v>
      </c>
      <c r="G13" s="532" t="s">
        <v>500</v>
      </c>
      <c r="H13" s="533" t="s">
        <v>470</v>
      </c>
    </row>
    <row r="14" spans="1:8" ht="17.25" thickBot="1" x14ac:dyDescent="0.35">
      <c r="A14" s="213"/>
      <c r="B14" s="231"/>
      <c r="C14" s="232"/>
      <c r="D14" s="233"/>
      <c r="E14" s="233"/>
      <c r="G14" s="234" t="s">
        <v>492</v>
      </c>
      <c r="H14" s="235">
        <f>E20</f>
        <v>9893171192.77141</v>
      </c>
    </row>
    <row r="15" spans="1:8" x14ac:dyDescent="0.3">
      <c r="A15" s="213"/>
      <c r="B15" s="632" t="s">
        <v>501</v>
      </c>
      <c r="C15" s="236" t="s">
        <v>492</v>
      </c>
      <c r="D15" s="237"/>
      <c r="E15" s="238">
        <v>156595802.78889465</v>
      </c>
      <c r="G15" s="234" t="s">
        <v>493</v>
      </c>
      <c r="H15" s="235">
        <f>E21</f>
        <v>180422311.87652013</v>
      </c>
    </row>
    <row r="16" spans="1:8" x14ac:dyDescent="0.3">
      <c r="A16" s="213"/>
      <c r="B16" s="633"/>
      <c r="C16" s="220" t="s">
        <v>493</v>
      </c>
      <c r="D16" s="239"/>
      <c r="E16" s="240">
        <v>13045225.275220726</v>
      </c>
      <c r="G16" s="234" t="s">
        <v>494</v>
      </c>
      <c r="H16" s="436">
        <f>H9</f>
        <v>263830855.11663836</v>
      </c>
    </row>
    <row r="17" spans="1:8" x14ac:dyDescent="0.3">
      <c r="A17" s="213"/>
      <c r="B17" s="633"/>
      <c r="C17" s="220" t="s">
        <v>495</v>
      </c>
      <c r="D17" s="239"/>
      <c r="E17" s="240">
        <v>6127351.6853072103</v>
      </c>
      <c r="F17" s="241"/>
      <c r="G17" s="234" t="s">
        <v>502</v>
      </c>
      <c r="H17" s="436">
        <v>901790899.29171491</v>
      </c>
    </row>
    <row r="18" spans="1:8" ht="17.25" thickBot="1" x14ac:dyDescent="0.35">
      <c r="A18" s="213"/>
      <c r="B18" s="634"/>
      <c r="C18" s="228" t="s">
        <v>729</v>
      </c>
      <c r="D18" s="244"/>
      <c r="E18" s="245">
        <f>E15-E16-E17</f>
        <v>137423225.82836673</v>
      </c>
      <c r="F18" s="241"/>
      <c r="G18" s="234" t="s">
        <v>497</v>
      </c>
      <c r="H18" s="235">
        <f>E23</f>
        <v>257796441.09727815</v>
      </c>
    </row>
    <row r="19" spans="1:8" ht="17.25" thickBot="1" x14ac:dyDescent="0.35">
      <c r="A19" s="213"/>
      <c r="B19" s="213"/>
      <c r="C19" s="213"/>
      <c r="D19" s="213"/>
      <c r="E19" s="215"/>
      <c r="F19" s="241"/>
      <c r="G19" s="242" t="s">
        <v>503</v>
      </c>
      <c r="H19" s="243">
        <f>H14-H15-H16-H17-H18</f>
        <v>8289330685.3892584</v>
      </c>
    </row>
    <row r="20" spans="1:8" ht="16.5" customHeight="1" x14ac:dyDescent="0.3">
      <c r="A20" s="213"/>
      <c r="B20" s="635" t="s">
        <v>712</v>
      </c>
      <c r="C20" s="236" t="s">
        <v>492</v>
      </c>
      <c r="D20" s="237"/>
      <c r="E20" s="246">
        <f>E8+E15</f>
        <v>9893171192.77141</v>
      </c>
    </row>
    <row r="21" spans="1:8" x14ac:dyDescent="0.3">
      <c r="A21" s="213"/>
      <c r="B21" s="630"/>
      <c r="C21" s="220" t="s">
        <v>493</v>
      </c>
      <c r="D21" s="247"/>
      <c r="E21" s="248">
        <f>E9+E16</f>
        <v>180422311.87652013</v>
      </c>
    </row>
    <row r="22" spans="1:8" x14ac:dyDescent="0.3">
      <c r="A22" s="213"/>
      <c r="B22" s="630"/>
      <c r="C22" s="220" t="s">
        <v>495</v>
      </c>
      <c r="D22" s="247"/>
      <c r="E22" s="248">
        <f>E10+E17</f>
        <v>5095904156.2317877</v>
      </c>
    </row>
    <row r="23" spans="1:8" x14ac:dyDescent="0.3">
      <c r="A23" s="213"/>
      <c r="B23" s="630"/>
      <c r="C23" s="220" t="s">
        <v>497</v>
      </c>
      <c r="D23" s="247"/>
      <c r="E23" s="248">
        <f>E11</f>
        <v>257796441.09727815</v>
      </c>
    </row>
    <row r="24" spans="1:8" x14ac:dyDescent="0.3">
      <c r="A24" s="213"/>
      <c r="B24" s="630"/>
      <c r="C24" s="220" t="s">
        <v>498</v>
      </c>
      <c r="D24" s="247"/>
      <c r="E24" s="248">
        <f>E12</f>
        <v>49171380.81186568</v>
      </c>
    </row>
    <row r="25" spans="1:8" ht="17.25" thickBot="1" x14ac:dyDescent="0.35">
      <c r="A25" s="213"/>
      <c r="B25" s="630"/>
      <c r="C25" s="506" t="s">
        <v>728</v>
      </c>
      <c r="D25" s="479"/>
      <c r="E25" s="230">
        <f>E20-E21-E22-E23</f>
        <v>4359048283.5658236</v>
      </c>
    </row>
    <row r="26" spans="1:8" x14ac:dyDescent="0.3">
      <c r="A26" s="213"/>
      <c r="B26" s="617" t="s">
        <v>711</v>
      </c>
      <c r="C26" s="618"/>
      <c r="D26" s="237"/>
      <c r="E26" s="246">
        <f>'P3 - WK - Capital de Giro'!C19*1000</f>
        <v>398109000</v>
      </c>
    </row>
    <row r="27" spans="1:8" ht="17.25" thickBot="1" x14ac:dyDescent="0.35">
      <c r="A27" s="213"/>
      <c r="B27" s="619" t="s">
        <v>727</v>
      </c>
      <c r="C27" s="620"/>
      <c r="D27" s="530"/>
      <c r="E27" s="531">
        <f>E25+E26</f>
        <v>4757157283.5658236</v>
      </c>
    </row>
    <row r="28" spans="1:8" x14ac:dyDescent="0.3">
      <c r="A28" s="213"/>
      <c r="B28" s="213"/>
      <c r="C28" s="213"/>
      <c r="D28" s="213"/>
      <c r="E28" s="215"/>
    </row>
    <row r="29" spans="1:8" x14ac:dyDescent="0.3">
      <c r="A29" s="213"/>
      <c r="B29" s="213" t="s">
        <v>504</v>
      </c>
      <c r="C29" s="213"/>
      <c r="D29" s="213"/>
      <c r="E29" s="215"/>
    </row>
    <row r="30" spans="1:8" x14ac:dyDescent="0.3">
      <c r="A30" s="213"/>
      <c r="B30" s="213"/>
      <c r="C30" s="213"/>
      <c r="D30" s="213"/>
      <c r="E30" s="215"/>
      <c r="G30" s="227"/>
    </row>
    <row r="31" spans="1:8" x14ac:dyDescent="0.3">
      <c r="A31" s="213"/>
      <c r="B31" s="213"/>
      <c r="C31" s="213"/>
      <c r="D31" s="213"/>
      <c r="E31" s="215"/>
    </row>
    <row r="32" spans="1:8" x14ac:dyDescent="0.3">
      <c r="A32" s="213"/>
    </row>
    <row r="33" spans="1:1" x14ac:dyDescent="0.3">
      <c r="A33" s="213"/>
    </row>
  </sheetData>
  <mergeCells count="10">
    <mergeCell ref="B26:C26"/>
    <mergeCell ref="B27:C27"/>
    <mergeCell ref="B2:E2"/>
    <mergeCell ref="G12:H12"/>
    <mergeCell ref="B4:E4"/>
    <mergeCell ref="C6:E6"/>
    <mergeCell ref="C7:D7"/>
    <mergeCell ref="B8:B13"/>
    <mergeCell ref="B15:B18"/>
    <mergeCell ref="B20:B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6629-6465-4D27-8D90-65EF65431F79}">
  <sheetPr codeName="Planilha25">
    <tabColor theme="1"/>
  </sheetPr>
  <dimension ref="A2:E9"/>
  <sheetViews>
    <sheetView workbookViewId="0">
      <selection activeCell="A4" sqref="A4:E9"/>
    </sheetView>
  </sheetViews>
  <sheetFormatPr defaultColWidth="8.85546875" defaultRowHeight="15" customHeight="1" x14ac:dyDescent="0.25"/>
  <cols>
    <col min="1" max="1" width="23.5703125" style="58" bestFit="1" customWidth="1"/>
    <col min="2" max="5" width="18" style="58" bestFit="1" customWidth="1"/>
    <col min="6" max="16384" width="8.85546875" style="58"/>
  </cols>
  <sheetData>
    <row r="2" spans="1:5" ht="18" x14ac:dyDescent="0.25">
      <c r="A2" s="597" t="s">
        <v>505</v>
      </c>
      <c r="B2" s="597"/>
      <c r="C2" s="597"/>
      <c r="D2" s="597"/>
      <c r="E2" s="547"/>
    </row>
    <row r="3" spans="1:5" ht="16.5" x14ac:dyDescent="0.25">
      <c r="A3" s="249"/>
    </row>
    <row r="4" spans="1:5" ht="16.5" x14ac:dyDescent="0.25">
      <c r="A4" s="534"/>
      <c r="B4" s="518">
        <v>2021</v>
      </c>
      <c r="C4" s="518">
        <v>2022</v>
      </c>
      <c r="D4" s="518">
        <v>2023</v>
      </c>
      <c r="E4" s="518">
        <v>2024</v>
      </c>
    </row>
    <row r="5" spans="1:5" ht="16.5" x14ac:dyDescent="0.25">
      <c r="A5" s="251" t="s">
        <v>731</v>
      </c>
      <c r="B5" s="252">
        <f>BAR0!E27/1000</f>
        <v>4757157.2835658239</v>
      </c>
      <c r="C5" s="252">
        <f>B9</f>
        <v>4851011.4107544981</v>
      </c>
      <c r="D5" s="252">
        <f t="shared" ref="D5:E5" si="0">C9</f>
        <v>5200596.6893048882</v>
      </c>
      <c r="E5" s="252">
        <f t="shared" si="0"/>
        <v>5581177.2319773799</v>
      </c>
    </row>
    <row r="6" spans="1:5" ht="16.5" x14ac:dyDescent="0.25">
      <c r="A6" s="251" t="s">
        <v>506</v>
      </c>
      <c r="B6" s="252">
        <f>Depreciação!D24</f>
        <v>292320.14212478488</v>
      </c>
      <c r="C6" s="252">
        <f>Depreciação!E24</f>
        <v>314054.97767301468</v>
      </c>
      <c r="D6" s="252">
        <f>Depreciação!F24</f>
        <v>337673.23196844279</v>
      </c>
      <c r="E6" s="252">
        <f>Depreciação!G24</f>
        <v>346074.65572066628</v>
      </c>
    </row>
    <row r="7" spans="1:5" ht="16.5" x14ac:dyDescent="0.25">
      <c r="A7" s="251" t="s">
        <v>507</v>
      </c>
      <c r="B7" s="252">
        <f>'DE7 - CAPEX'!H20/1000</f>
        <v>374904.57954815461</v>
      </c>
      <c r="C7" s="252">
        <f>'DE7 - CAPEX'!I20/1000</f>
        <v>644210.58113128517</v>
      </c>
      <c r="D7" s="252">
        <f>'DE7 - CAPEX'!J20/1000</f>
        <v>700034.25106215919</v>
      </c>
      <c r="E7" s="252">
        <f>'DE7 - CAPEX'!K20/1000</f>
        <v>249014.35604333004</v>
      </c>
    </row>
    <row r="8" spans="1:5" ht="16.5" x14ac:dyDescent="0.25">
      <c r="A8" s="251" t="s">
        <v>508</v>
      </c>
      <c r="B8" s="252">
        <f>'P3 - WK - Capital de Giro'!D20</f>
        <v>11269.689765304618</v>
      </c>
      <c r="C8" s="252">
        <f>'P3 - WK - Capital de Giro'!E20</f>
        <v>19429.675092119433</v>
      </c>
      <c r="D8" s="252">
        <f>'P3 - WK - Capital de Giro'!F20</f>
        <v>18219.523578774708</v>
      </c>
      <c r="E8" s="252">
        <f>'P3 - WK - Capital de Giro'!G20</f>
        <v>17344.958026264969</v>
      </c>
    </row>
    <row r="9" spans="1:5" ht="16.5" x14ac:dyDescent="0.25">
      <c r="A9" s="253" t="s">
        <v>509</v>
      </c>
      <c r="B9" s="254">
        <f>B5-B6+B7+B8</f>
        <v>4851011.4107544981</v>
      </c>
      <c r="C9" s="254">
        <f t="shared" ref="C9:D9" si="1">C5-C6+C7+C8</f>
        <v>5200596.6893048882</v>
      </c>
      <c r="D9" s="254">
        <f t="shared" si="1"/>
        <v>5581177.2319773799</v>
      </c>
      <c r="E9" s="254">
        <f>E5-E6+E7+E8</f>
        <v>5501461.890326309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7E2B-97FC-48BF-ACFB-8F160303D601}">
  <sheetPr>
    <tabColor theme="8" tint="-0.499984740745262"/>
  </sheetPr>
  <dimension ref="A1:D23"/>
  <sheetViews>
    <sheetView tabSelected="1" workbookViewId="0">
      <selection activeCell="G15" sqref="G15"/>
    </sheetView>
  </sheetViews>
  <sheetFormatPr defaultRowHeight="15" x14ac:dyDescent="0.25"/>
  <cols>
    <col min="1" max="1" width="39.28515625" bestFit="1" customWidth="1"/>
    <col min="2" max="2" width="17.140625" customWidth="1"/>
    <col min="3" max="3" width="9.140625" hidden="1" customWidth="1"/>
  </cols>
  <sheetData>
    <row r="1" spans="1:3" ht="26.1" customHeight="1" x14ac:dyDescent="0.25">
      <c r="A1" s="565" t="s">
        <v>732</v>
      </c>
      <c r="B1" s="565"/>
    </row>
    <row r="3" spans="1:3" ht="21.95" customHeight="1" x14ac:dyDescent="0.25">
      <c r="A3" s="434" t="s">
        <v>706</v>
      </c>
      <c r="B3" s="434" t="s">
        <v>707</v>
      </c>
    </row>
    <row r="4" spans="1:3" ht="16.5" x14ac:dyDescent="0.25">
      <c r="A4" s="438">
        <v>44197</v>
      </c>
      <c r="B4" s="439">
        <v>2.5000000000000001E-3</v>
      </c>
      <c r="C4" s="437">
        <f>B4+1</f>
        <v>1.0024999999999999</v>
      </c>
    </row>
    <row r="5" spans="1:3" ht="16.5" x14ac:dyDescent="0.25">
      <c r="A5" s="438">
        <v>44228</v>
      </c>
      <c r="B5" s="439">
        <v>8.6E-3</v>
      </c>
      <c r="C5" s="437">
        <f t="shared" ref="C5:C14" si="0">B5+1</f>
        <v>1.0085999999999999</v>
      </c>
    </row>
    <row r="6" spans="1:3" ht="16.5" x14ac:dyDescent="0.25">
      <c r="A6" s="438">
        <v>44256</v>
      </c>
      <c r="B6" s="439">
        <v>9.300000000000001E-3</v>
      </c>
      <c r="C6" s="437">
        <f t="shared" si="0"/>
        <v>1.0093000000000001</v>
      </c>
    </row>
    <row r="7" spans="1:3" ht="16.5" x14ac:dyDescent="0.25">
      <c r="A7" s="438">
        <v>44287</v>
      </c>
      <c r="B7" s="439">
        <v>3.0999999999999999E-3</v>
      </c>
      <c r="C7" s="437">
        <f t="shared" si="0"/>
        <v>1.0031000000000001</v>
      </c>
    </row>
    <row r="8" spans="1:3" ht="16.5" x14ac:dyDescent="0.25">
      <c r="A8" s="438">
        <v>44317</v>
      </c>
      <c r="B8" s="439">
        <v>8.3000000000000001E-3</v>
      </c>
      <c r="C8" s="437">
        <f t="shared" si="0"/>
        <v>1.0083</v>
      </c>
    </row>
    <row r="9" spans="1:3" ht="16.5" x14ac:dyDescent="0.25">
      <c r="A9" s="438">
        <v>44348</v>
      </c>
      <c r="B9" s="439">
        <v>5.3E-3</v>
      </c>
      <c r="C9" s="437">
        <f t="shared" si="0"/>
        <v>1.0053000000000001</v>
      </c>
    </row>
    <row r="10" spans="1:3" ht="16.5" x14ac:dyDescent="0.25">
      <c r="A10" s="438">
        <v>44378</v>
      </c>
      <c r="B10" s="439">
        <v>9.5999999999999992E-3</v>
      </c>
      <c r="C10" s="437">
        <f t="shared" si="0"/>
        <v>1.0096000000000001</v>
      </c>
    </row>
    <row r="11" spans="1:3" ht="16.5" x14ac:dyDescent="0.25">
      <c r="A11" s="438">
        <v>44409</v>
      </c>
      <c r="B11" s="439">
        <v>8.6999999999999994E-3</v>
      </c>
      <c r="C11" s="437">
        <f t="shared" si="0"/>
        <v>1.0086999999999999</v>
      </c>
    </row>
    <row r="12" spans="1:3" ht="16.5" x14ac:dyDescent="0.25">
      <c r="A12" s="438">
        <v>44440</v>
      </c>
      <c r="B12" s="439">
        <v>1.1599999999999999E-2</v>
      </c>
      <c r="C12" s="437">
        <f t="shared" si="0"/>
        <v>1.0116000000000001</v>
      </c>
    </row>
    <row r="13" spans="1:3" s="440" customFormat="1" ht="16.5" x14ac:dyDescent="0.25">
      <c r="A13" s="438">
        <v>44470</v>
      </c>
      <c r="B13" s="554">
        <v>1.2500000000000001E-2</v>
      </c>
      <c r="C13" s="437">
        <f t="shared" si="0"/>
        <v>1.0125</v>
      </c>
    </row>
    <row r="14" spans="1:3" ht="16.5" x14ac:dyDescent="0.25">
      <c r="A14" s="438">
        <v>44501</v>
      </c>
      <c r="B14" s="554">
        <v>9.4999999999999998E-3</v>
      </c>
      <c r="C14" s="437">
        <f t="shared" si="0"/>
        <v>1.0095000000000001</v>
      </c>
    </row>
    <row r="15" spans="1:3" x14ac:dyDescent="0.25">
      <c r="A15" s="441" t="s">
        <v>708</v>
      </c>
      <c r="B15" s="442">
        <f>(C4*C5*C6*C7*C8*C9*C10*C11*C12*C13*C14)-1</f>
        <v>9.2634318408199023E-2</v>
      </c>
      <c r="C15" s="437">
        <f>B15+1</f>
        <v>1.092634318408199</v>
      </c>
    </row>
    <row r="17" spans="1:4" ht="18" x14ac:dyDescent="0.25">
      <c r="A17" s="441" t="s">
        <v>709</v>
      </c>
      <c r="B17" s="443">
        <f>RESULTADO!F40</f>
        <v>-3.7476348632570211E-3</v>
      </c>
      <c r="C17" s="437">
        <f>B17+1</f>
        <v>0.99625236513674298</v>
      </c>
    </row>
    <row r="19" spans="1:4" x14ac:dyDescent="0.25">
      <c r="A19" s="566" t="s">
        <v>740</v>
      </c>
      <c r="B19" s="566"/>
    </row>
    <row r="20" spans="1:4" x14ac:dyDescent="0.25">
      <c r="A20" s="442" t="str">
        <f>RESULTADO!B40</f>
        <v>Água</v>
      </c>
      <c r="B20" s="555">
        <f>RESULTADO!E40*(1+'RESULTADO Após IPCA'!$B23)</f>
        <v>5.7125299772131655</v>
      </c>
      <c r="D20" s="556"/>
    </row>
    <row r="21" spans="1:4" x14ac:dyDescent="0.25">
      <c r="A21" s="442" t="str">
        <f>RESULTADO!B41</f>
        <v>Custo Mínimo Fixo - CMF (R$ / Economia)</v>
      </c>
      <c r="B21" s="555">
        <f>RESULTADO!E41*(1+'RESULTADO Após IPCA'!$B24)</f>
        <v>142.59520909846307</v>
      </c>
    </row>
    <row r="23" spans="1:4" ht="18" x14ac:dyDescent="0.25">
      <c r="A23" s="441" t="s">
        <v>710</v>
      </c>
      <c r="B23" s="443">
        <f>(C15*C17)-1</f>
        <v>8.8539523943741427E-2</v>
      </c>
    </row>
  </sheetData>
  <mergeCells count="2">
    <mergeCell ref="A1:B1"/>
    <mergeCell ref="A19:B1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745A-7F8F-43AF-926B-2E9566738F33}">
  <sheetPr codeName="Planilha26">
    <tabColor theme="1"/>
  </sheetPr>
  <dimension ref="B3:J37"/>
  <sheetViews>
    <sheetView topLeftCell="A16" workbookViewId="0">
      <selection activeCell="C37" sqref="C37"/>
    </sheetView>
  </sheetViews>
  <sheetFormatPr defaultColWidth="9.140625" defaultRowHeight="14.25" x14ac:dyDescent="0.25"/>
  <cols>
    <col min="1" max="1" width="3.7109375" style="102" customWidth="1"/>
    <col min="2" max="2" width="47.7109375" style="102" bestFit="1" customWidth="1"/>
    <col min="3" max="4" width="18.7109375" style="263" bestFit="1" customWidth="1"/>
    <col min="5" max="5" width="17.28515625" style="263" customWidth="1"/>
    <col min="6" max="6" width="18.140625" style="263" bestFit="1" customWidth="1"/>
    <col min="7" max="7" width="18.140625" style="102" bestFit="1" customWidth="1"/>
    <col min="8" max="8" width="9.140625" style="102"/>
    <col min="9" max="9" width="11.5703125" style="102" bestFit="1" customWidth="1"/>
    <col min="10" max="10" width="12.7109375" style="102" bestFit="1" customWidth="1"/>
    <col min="11" max="16384" width="9.140625" style="102"/>
  </cols>
  <sheetData>
    <row r="3" spans="2:7" ht="15" x14ac:dyDescent="0.25">
      <c r="B3" s="99"/>
    </row>
    <row r="4" spans="2:7" ht="45" x14ac:dyDescent="0.25">
      <c r="B4" s="535" t="s">
        <v>511</v>
      </c>
      <c r="C4" s="536" t="s">
        <v>552</v>
      </c>
      <c r="D4" s="536" t="s">
        <v>553</v>
      </c>
    </row>
    <row r="5" spans="2:7" x14ac:dyDescent="0.25">
      <c r="B5" s="264" t="s">
        <v>554</v>
      </c>
      <c r="C5" s="265">
        <f>H30</f>
        <v>29.639542461767295</v>
      </c>
      <c r="D5" s="266">
        <f>1/C5</f>
        <v>3.3738712440987313E-2</v>
      </c>
    </row>
    <row r="6" spans="2:7" x14ac:dyDescent="0.25">
      <c r="C6" s="267"/>
      <c r="D6" s="267"/>
    </row>
    <row r="7" spans="2:7" ht="45" x14ac:dyDescent="0.25">
      <c r="B7" s="535" t="s">
        <v>511</v>
      </c>
      <c r="C7" s="537" t="s">
        <v>555</v>
      </c>
      <c r="D7" s="536" t="s">
        <v>553</v>
      </c>
    </row>
    <row r="8" spans="2:7" x14ac:dyDescent="0.25">
      <c r="B8" s="264" t="s">
        <v>556</v>
      </c>
      <c r="C8" s="265">
        <f>H30</f>
        <v>29.639542461767295</v>
      </c>
      <c r="D8" s="266">
        <f>1/C8</f>
        <v>3.3738712440987313E-2</v>
      </c>
    </row>
    <row r="10" spans="2:7" ht="15" x14ac:dyDescent="0.25">
      <c r="B10" s="268" t="s">
        <v>557</v>
      </c>
    </row>
    <row r="11" spans="2:7" ht="15" x14ac:dyDescent="0.25">
      <c r="B11" s="268"/>
    </row>
    <row r="12" spans="2:7" ht="15" x14ac:dyDescent="0.25">
      <c r="B12" s="535" t="s">
        <v>511</v>
      </c>
      <c r="C12" s="537" t="s">
        <v>558</v>
      </c>
      <c r="D12" s="538">
        <v>2021</v>
      </c>
      <c r="E12" s="538">
        <v>2022</v>
      </c>
      <c r="F12" s="538">
        <v>2023</v>
      </c>
      <c r="G12" s="538">
        <v>2024</v>
      </c>
    </row>
    <row r="13" spans="2:7" x14ac:dyDescent="0.25">
      <c r="B13" s="264" t="s">
        <v>559</v>
      </c>
      <c r="C13" s="269">
        <f>BAR0!H19/1000</f>
        <v>8289330.685389258</v>
      </c>
      <c r="D13" s="270">
        <f>C13</f>
        <v>8289330.685389258</v>
      </c>
      <c r="E13" s="270">
        <f t="shared" ref="E13:G13" si="0">D13</f>
        <v>8289330.685389258</v>
      </c>
      <c r="F13" s="270">
        <f t="shared" si="0"/>
        <v>8289330.685389258</v>
      </c>
      <c r="G13" s="270">
        <f t="shared" si="0"/>
        <v>8289330.685389258</v>
      </c>
    </row>
    <row r="14" spans="2:7" ht="15" x14ac:dyDescent="0.25">
      <c r="B14" s="271" t="s">
        <v>560</v>
      </c>
      <c r="C14" s="272">
        <v>0</v>
      </c>
      <c r="D14" s="273">
        <f>D13*$D$5</f>
        <v>279671.34432260046</v>
      </c>
      <c r="E14" s="273">
        <f>E13*$D$5</f>
        <v>279671.34432260046</v>
      </c>
      <c r="F14" s="273">
        <f>F13*$D$5</f>
        <v>279671.34432260046</v>
      </c>
      <c r="G14" s="273">
        <f>G13*$D$5</f>
        <v>279671.34432260046</v>
      </c>
    </row>
    <row r="15" spans="2:7" ht="15" x14ac:dyDescent="0.25">
      <c r="B15" s="271" t="s">
        <v>495</v>
      </c>
      <c r="C15" s="272"/>
      <c r="D15" s="273">
        <f>D14</f>
        <v>279671.34432260046</v>
      </c>
      <c r="E15" s="273">
        <f>E14+D15</f>
        <v>559342.68864520092</v>
      </c>
      <c r="F15" s="273">
        <f t="shared" ref="F15:G15" si="1">F14+E15</f>
        <v>839014.03296780144</v>
      </c>
      <c r="G15" s="273">
        <f t="shared" si="1"/>
        <v>1118685.3772904018</v>
      </c>
    </row>
    <row r="17" spans="2:10" ht="15" x14ac:dyDescent="0.25">
      <c r="B17" s="268" t="s">
        <v>561</v>
      </c>
      <c r="D17" s="274"/>
    </row>
    <row r="18" spans="2:10" ht="15" x14ac:dyDescent="0.25">
      <c r="B18" s="268"/>
    </row>
    <row r="19" spans="2:10" ht="15" x14ac:dyDescent="0.25">
      <c r="B19" s="535" t="s">
        <v>511</v>
      </c>
      <c r="C19" s="537" t="s">
        <v>558</v>
      </c>
      <c r="D19" s="538">
        <v>2021</v>
      </c>
      <c r="E19" s="538">
        <v>2022</v>
      </c>
      <c r="F19" s="538">
        <v>2023</v>
      </c>
      <c r="G19" s="538">
        <v>2024</v>
      </c>
      <c r="I19" s="181"/>
    </row>
    <row r="20" spans="2:10" x14ac:dyDescent="0.25">
      <c r="B20" s="264" t="s">
        <v>562</v>
      </c>
      <c r="C20" s="275">
        <v>0</v>
      </c>
      <c r="D20" s="276">
        <f>'DE7 - CAPEX'!H20/1000</f>
        <v>374904.57954815461</v>
      </c>
      <c r="E20" s="276">
        <f>'DE7 - CAPEX'!I20/1000</f>
        <v>644210.58113128517</v>
      </c>
      <c r="F20" s="276">
        <f>'DE7 - CAPEX'!J20/1000</f>
        <v>700034.25106215919</v>
      </c>
      <c r="G20" s="276">
        <f>'DE7 - CAPEX'!K20/1000</f>
        <v>249014.35604333004</v>
      </c>
      <c r="I20" s="181"/>
      <c r="J20" s="181"/>
    </row>
    <row r="21" spans="2:10" x14ac:dyDescent="0.25">
      <c r="B21" s="264" t="s">
        <v>563</v>
      </c>
      <c r="C21" s="275">
        <v>0</v>
      </c>
      <c r="D21" s="276">
        <f>D20</f>
        <v>374904.57954815461</v>
      </c>
      <c r="E21" s="276">
        <f>E20+D21</f>
        <v>1019115.1606794398</v>
      </c>
      <c r="F21" s="276">
        <f t="shared" ref="F21:G21" si="2">F20+E21</f>
        <v>1719149.411741599</v>
      </c>
      <c r="G21" s="276">
        <f t="shared" si="2"/>
        <v>1968163.7677849289</v>
      </c>
    </row>
    <row r="22" spans="2:10" ht="15" x14ac:dyDescent="0.25">
      <c r="B22" s="271" t="s">
        <v>560</v>
      </c>
      <c r="C22" s="272">
        <v>0</v>
      </c>
      <c r="D22" s="277">
        <f>D21*$D$8</f>
        <v>12648.797802184441</v>
      </c>
      <c r="E22" s="277">
        <f>E21*$D$8</f>
        <v>34383.633350414202</v>
      </c>
      <c r="F22" s="277">
        <f>F21*$D$8</f>
        <v>58001.887645842304</v>
      </c>
      <c r="G22" s="277">
        <f>G21*$D$8</f>
        <v>66403.311398065853</v>
      </c>
    </row>
    <row r="23" spans="2:10" ht="15.75" thickBot="1" x14ac:dyDescent="0.3">
      <c r="B23" s="268"/>
    </row>
    <row r="24" spans="2:10" ht="15.75" thickBot="1" x14ac:dyDescent="0.3">
      <c r="B24" s="636" t="s">
        <v>564</v>
      </c>
      <c r="C24" s="637"/>
      <c r="D24" s="539">
        <f>D14+D22</f>
        <v>292320.14212478488</v>
      </c>
      <c r="E24" s="539">
        <f t="shared" ref="E24:G24" si="3">E14+E22</f>
        <v>314054.97767301468</v>
      </c>
      <c r="F24" s="539">
        <f t="shared" si="3"/>
        <v>337673.23196844279</v>
      </c>
      <c r="G24" s="540">
        <f t="shared" si="3"/>
        <v>346074.65572066628</v>
      </c>
    </row>
    <row r="26" spans="2:10" x14ac:dyDescent="0.25">
      <c r="D26" s="274"/>
      <c r="E26" s="274"/>
      <c r="F26" s="274"/>
      <c r="G26" s="278"/>
    </row>
    <row r="27" spans="2:10" ht="18.75" customHeight="1" x14ac:dyDescent="0.25">
      <c r="B27" s="279" t="s">
        <v>565</v>
      </c>
      <c r="C27"/>
      <c r="D27" s="280"/>
      <c r="E27" s="280"/>
      <c r="F27" s="280"/>
      <c r="G27" s="280"/>
      <c r="H27"/>
      <c r="I27"/>
    </row>
    <row r="28" spans="2:10" ht="15" x14ac:dyDescent="0.25">
      <c r="B28"/>
      <c r="C28"/>
      <c r="D28"/>
      <c r="E28"/>
      <c r="F28"/>
      <c r="G28"/>
      <c r="H28"/>
      <c r="I28"/>
    </row>
    <row r="29" spans="2:10" ht="60" x14ac:dyDescent="0.25">
      <c r="B29" s="281"/>
      <c r="C29" s="282" t="s">
        <v>506</v>
      </c>
      <c r="D29" s="282" t="s">
        <v>566</v>
      </c>
      <c r="E29" s="282" t="s">
        <v>567</v>
      </c>
      <c r="F29" s="282" t="s">
        <v>568</v>
      </c>
      <c r="G29" s="282" t="s">
        <v>569</v>
      </c>
      <c r="H29" s="282" t="s">
        <v>570</v>
      </c>
      <c r="I29" s="282" t="s">
        <v>571</v>
      </c>
    </row>
    <row r="30" spans="2:10" ht="15" x14ac:dyDescent="0.25">
      <c r="B30" s="283" t="s">
        <v>572</v>
      </c>
      <c r="C30" s="284">
        <f>BAR0!E22-BAR0!H9</f>
        <v>4832073301.1151495</v>
      </c>
      <c r="D30" s="285">
        <f>BAR0!E20-BAR0!H9</f>
        <v>9629340337.6547718</v>
      </c>
      <c r="E30" s="286">
        <f>C30/D30</f>
        <v>0.50180730264769124</v>
      </c>
      <c r="F30" s="287">
        <f>C37</f>
        <v>14.873338854451157</v>
      </c>
      <c r="G30" s="286">
        <f>E30/F30</f>
        <v>3.3738712440987313E-2</v>
      </c>
      <c r="H30" s="288">
        <f>1/G30</f>
        <v>29.639542461767295</v>
      </c>
      <c r="I30" s="286">
        <f>1/H30</f>
        <v>3.3738712440987313E-2</v>
      </c>
    </row>
    <row r="33" spans="2:4" x14ac:dyDescent="0.25">
      <c r="B33" s="102" t="s">
        <v>573</v>
      </c>
      <c r="C33" s="550">
        <v>1717601738256.207</v>
      </c>
      <c r="D33" s="289"/>
    </row>
    <row r="34" spans="2:4" x14ac:dyDescent="0.25">
      <c r="B34" s="102" t="s">
        <v>738</v>
      </c>
      <c r="C34" s="550">
        <v>48132111686</v>
      </c>
      <c r="D34" s="289"/>
    </row>
    <row r="35" spans="2:4" x14ac:dyDescent="0.25">
      <c r="B35" s="102" t="s">
        <v>739</v>
      </c>
      <c r="C35" s="550">
        <f>C33+C34</f>
        <v>1765733849942.207</v>
      </c>
      <c r="D35" s="289"/>
    </row>
    <row r="36" spans="2:4" x14ac:dyDescent="0.25">
      <c r="B36" s="102" t="s">
        <v>574</v>
      </c>
      <c r="C36" s="550">
        <f>[1]BAR0!E20</f>
        <v>9893171192.77141</v>
      </c>
      <c r="D36" s="289"/>
    </row>
    <row r="37" spans="2:4" x14ac:dyDescent="0.25">
      <c r="B37" s="102" t="s">
        <v>575</v>
      </c>
      <c r="C37" s="551">
        <f>(C35/C36)/12</f>
        <v>14.873338854451157</v>
      </c>
      <c r="D37" s="290"/>
    </row>
  </sheetData>
  <mergeCells count="1">
    <mergeCell ref="B24:C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F10-A3ED-4704-84F8-133DDA4B0CEA}">
  <sheetPr codeName="Planilha27">
    <tabColor theme="1"/>
  </sheetPr>
  <dimension ref="B2:J17"/>
  <sheetViews>
    <sheetView workbookViewId="0">
      <selection activeCell="C17" sqref="C17"/>
    </sheetView>
  </sheetViews>
  <sheetFormatPr defaultColWidth="8.85546875" defaultRowHeight="19.899999999999999" customHeight="1" x14ac:dyDescent="0.25"/>
  <cols>
    <col min="1" max="1" width="9.28515625" style="314" customWidth="1"/>
    <col min="2" max="2" width="33.140625" style="314" customWidth="1"/>
    <col min="3" max="3" width="16.28515625" style="313" customWidth="1"/>
    <col min="4" max="9" width="8.85546875" style="314"/>
    <col min="10" max="10" width="10.140625" style="314" bestFit="1" customWidth="1"/>
    <col min="11" max="16384" width="8.85546875" style="314"/>
  </cols>
  <sheetData>
    <row r="2" spans="2:10" ht="15.75" customHeight="1" x14ac:dyDescent="0.25">
      <c r="B2" s="638" t="s">
        <v>601</v>
      </c>
      <c r="C2" s="638"/>
    </row>
    <row r="4" spans="2:10" ht="15.75" x14ac:dyDescent="0.25">
      <c r="B4" s="333" t="s">
        <v>602</v>
      </c>
      <c r="C4" s="334" t="s">
        <v>603</v>
      </c>
    </row>
    <row r="5" spans="2:10" ht="15.75" x14ac:dyDescent="0.25">
      <c r="B5" s="315"/>
      <c r="C5" s="316"/>
    </row>
    <row r="6" spans="2:10" ht="15.75" x14ac:dyDescent="0.25">
      <c r="B6" s="314" t="s">
        <v>701</v>
      </c>
      <c r="C6" s="317">
        <f>SUM('P2 - Projeção OPEX'!E13:H13)</f>
        <v>6930245.6146774618</v>
      </c>
    </row>
    <row r="7" spans="2:10" ht="15.75" x14ac:dyDescent="0.25">
      <c r="B7" s="314" t="s">
        <v>704</v>
      </c>
      <c r="C7" s="317">
        <f>SUM(RESULTADO!D18:G18)</f>
        <v>12031852.2972528</v>
      </c>
      <c r="E7" s="318"/>
      <c r="F7" s="318"/>
      <c r="G7" s="318"/>
      <c r="H7" s="318"/>
      <c r="J7" s="318"/>
    </row>
    <row r="8" spans="2:10" ht="15.75" x14ac:dyDescent="0.25">
      <c r="C8" s="317"/>
    </row>
    <row r="9" spans="2:10" ht="15.75" x14ac:dyDescent="0.25">
      <c r="B9" s="333" t="s">
        <v>604</v>
      </c>
      <c r="C9" s="335">
        <f>C6/C7</f>
        <v>0.57599157997142514</v>
      </c>
    </row>
    <row r="11" spans="2:10" ht="15.75" x14ac:dyDescent="0.25">
      <c r="B11" s="333" t="s">
        <v>605</v>
      </c>
      <c r="C11" s="335">
        <v>0.95594267910116604</v>
      </c>
    </row>
    <row r="13" spans="2:10" ht="18.75" x14ac:dyDescent="0.25">
      <c r="B13" s="333" t="s">
        <v>611</v>
      </c>
      <c r="C13" s="335">
        <f>(1-C11)</f>
        <v>4.4057320898833963E-2</v>
      </c>
    </row>
    <row r="15" spans="2:10" ht="15.75" x14ac:dyDescent="0.25">
      <c r="B15" s="333" t="s">
        <v>606</v>
      </c>
      <c r="C15" s="334">
        <v>4</v>
      </c>
    </row>
    <row r="17" spans="2:3" ht="18.75" x14ac:dyDescent="0.25">
      <c r="B17" s="333" t="s">
        <v>607</v>
      </c>
      <c r="C17" s="336">
        <f>((1+C13)^(1/(C15-1)))-1</f>
        <v>1.4475230330424305E-2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15CF-611C-4AD0-AAB5-79648C66E409}">
  <sheetPr codeName="Planilha28">
    <tabColor theme="1"/>
  </sheetPr>
  <dimension ref="A2:C33"/>
  <sheetViews>
    <sheetView workbookViewId="0">
      <selection activeCell="F10" sqref="F10"/>
    </sheetView>
  </sheetViews>
  <sheetFormatPr defaultColWidth="8.85546875" defaultRowHeight="15" x14ac:dyDescent="0.25"/>
  <cols>
    <col min="1" max="1" width="63.7109375" style="59" customWidth="1"/>
    <col min="2" max="2" width="14.7109375" style="59" customWidth="1"/>
    <col min="3" max="16384" width="8.85546875" style="59"/>
  </cols>
  <sheetData>
    <row r="2" spans="1:3" ht="15" customHeight="1" x14ac:dyDescent="0.25">
      <c r="A2" s="638" t="s">
        <v>576</v>
      </c>
      <c r="B2" s="638"/>
      <c r="C2" s="638"/>
    </row>
    <row r="3" spans="1:3" ht="18.75" x14ac:dyDescent="0.25">
      <c r="A3" s="291"/>
      <c r="B3" s="291"/>
      <c r="C3" s="291"/>
    </row>
    <row r="4" spans="1:3" ht="18" customHeight="1" x14ac:dyDescent="0.25">
      <c r="A4" s="292"/>
    </row>
    <row r="5" spans="1:3" ht="15.75" x14ac:dyDescent="0.25">
      <c r="A5" s="541" t="s">
        <v>577</v>
      </c>
      <c r="B5" s="542"/>
    </row>
    <row r="6" spans="1:3" x14ac:dyDescent="0.25">
      <c r="A6" s="293" t="s">
        <v>578</v>
      </c>
      <c r="B6" s="294">
        <v>2.1350000000000001E-2</v>
      </c>
    </row>
    <row r="7" spans="1:3" x14ac:dyDescent="0.25">
      <c r="A7" s="293" t="s">
        <v>579</v>
      </c>
      <c r="B7" s="295">
        <v>0.56661531870133741</v>
      </c>
    </row>
    <row r="8" spans="1:3" x14ac:dyDescent="0.25">
      <c r="A8" s="293" t="s">
        <v>580</v>
      </c>
      <c r="B8" s="295">
        <f>B7*(1-B25*B21)/(1-B25)</f>
        <v>0.70046936004550031</v>
      </c>
    </row>
    <row r="9" spans="1:3" x14ac:dyDescent="0.25">
      <c r="A9" s="293" t="s">
        <v>581</v>
      </c>
      <c r="B9" s="294">
        <v>0.12034200552577382</v>
      </c>
      <c r="C9" s="294"/>
    </row>
    <row r="10" spans="1:3" x14ac:dyDescent="0.25">
      <c r="A10" s="293" t="s">
        <v>582</v>
      </c>
      <c r="B10" s="294">
        <f>B9-B6</f>
        <v>9.8992005525773807E-2</v>
      </c>
      <c r="C10" s="294"/>
    </row>
    <row r="11" spans="1:3" x14ac:dyDescent="0.25">
      <c r="A11" s="293" t="s">
        <v>583</v>
      </c>
      <c r="B11" s="294">
        <v>2.6614166666666664E-2</v>
      </c>
    </row>
    <row r="12" spans="1:3" x14ac:dyDescent="0.25">
      <c r="A12" s="293" t="s">
        <v>584</v>
      </c>
      <c r="B12" s="294">
        <f>B6+B8*B10+B11</f>
        <v>0.11730503342692608</v>
      </c>
    </row>
    <row r="13" spans="1:3" x14ac:dyDescent="0.25">
      <c r="A13" s="293" t="s">
        <v>585</v>
      </c>
      <c r="B13" s="294">
        <v>1.7429999999999998E-2</v>
      </c>
    </row>
    <row r="14" spans="1:3" x14ac:dyDescent="0.25">
      <c r="A14" s="296" t="s">
        <v>586</v>
      </c>
      <c r="B14" s="297">
        <f>(1+B12)/(1+B13)-1</f>
        <v>9.8164034308921622E-2</v>
      </c>
    </row>
    <row r="15" spans="1:3" ht="15.75" x14ac:dyDescent="0.25">
      <c r="A15" s="541" t="s">
        <v>587</v>
      </c>
      <c r="B15" s="542"/>
    </row>
    <row r="16" spans="1:3" x14ac:dyDescent="0.25">
      <c r="A16" s="293" t="s">
        <v>578</v>
      </c>
      <c r="B16" s="294">
        <f>B6</f>
        <v>2.1350000000000001E-2</v>
      </c>
    </row>
    <row r="17" spans="1:3" x14ac:dyDescent="0.25">
      <c r="A17" s="293" t="s">
        <v>583</v>
      </c>
      <c r="B17" s="294">
        <f>B11</f>
        <v>2.6614166666666664E-2</v>
      </c>
    </row>
    <row r="18" spans="1:3" x14ac:dyDescent="0.25">
      <c r="A18" s="293" t="s">
        <v>588</v>
      </c>
      <c r="B18" s="294">
        <v>3.5296527777777753E-2</v>
      </c>
    </row>
    <row r="19" spans="1:3" x14ac:dyDescent="0.25">
      <c r="A19" s="293" t="s">
        <v>589</v>
      </c>
      <c r="B19" s="294">
        <f>SUM(B16:B18)</f>
        <v>8.3260694444444422E-2</v>
      </c>
    </row>
    <row r="20" spans="1:3" x14ac:dyDescent="0.25">
      <c r="A20" s="296" t="s">
        <v>590</v>
      </c>
      <c r="B20" s="298">
        <f>(1+B19)/(1+B13)-1</f>
        <v>6.4702922505179172E-2</v>
      </c>
    </row>
    <row r="21" spans="1:3" x14ac:dyDescent="0.25">
      <c r="A21" s="293" t="s">
        <v>591</v>
      </c>
      <c r="B21" s="294">
        <v>0.34</v>
      </c>
    </row>
    <row r="22" spans="1:3" x14ac:dyDescent="0.25">
      <c r="A22" s="296" t="s">
        <v>592</v>
      </c>
      <c r="B22" s="297">
        <f>B20*(1-B21)</f>
        <v>4.2703928853418248E-2</v>
      </c>
    </row>
    <row r="23" spans="1:3" ht="15.75" x14ac:dyDescent="0.25">
      <c r="A23" s="541" t="s">
        <v>593</v>
      </c>
      <c r="B23" s="542"/>
    </row>
    <row r="24" spans="1:3" x14ac:dyDescent="0.25">
      <c r="A24" s="293" t="s">
        <v>594</v>
      </c>
      <c r="B24" s="294">
        <f>1-B25</f>
        <v>0.7364144748894228</v>
      </c>
    </row>
    <row r="25" spans="1:3" x14ac:dyDescent="0.25">
      <c r="A25" s="293" t="s">
        <v>595</v>
      </c>
      <c r="B25" s="294">
        <v>0.26358552511057715</v>
      </c>
    </row>
    <row r="26" spans="1:3" ht="15.75" x14ac:dyDescent="0.25">
      <c r="A26" s="541" t="s">
        <v>596</v>
      </c>
      <c r="B26" s="542"/>
    </row>
    <row r="27" spans="1:3" x14ac:dyDescent="0.25">
      <c r="A27" s="293" t="s">
        <v>597</v>
      </c>
      <c r="B27" s="294">
        <f>B24*B14+B25*B20*(1-B21)</f>
        <v>8.3545553289744764E-2</v>
      </c>
      <c r="C27" s="294"/>
    </row>
    <row r="28" spans="1:3" x14ac:dyDescent="0.25">
      <c r="A28" s="293" t="s">
        <v>598</v>
      </c>
      <c r="B28" s="294">
        <f>B27/(1-B21)</f>
        <v>0.12658417165112845</v>
      </c>
    </row>
    <row r="29" spans="1:3" x14ac:dyDescent="0.25">
      <c r="A29" s="293"/>
      <c r="B29" s="294"/>
    </row>
    <row r="30" spans="1:3" x14ac:dyDescent="0.25">
      <c r="A30" s="293"/>
      <c r="B30" s="294"/>
    </row>
    <row r="32" spans="1:3" x14ac:dyDescent="0.25">
      <c r="B32" s="294"/>
    </row>
    <row r="33" spans="2:2" x14ac:dyDescent="0.25">
      <c r="B33" s="294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6874-44AB-4DAB-AED4-88CC9E1361CD}">
  <sheetPr>
    <tabColor theme="1"/>
  </sheetPr>
  <dimension ref="A1:G29"/>
  <sheetViews>
    <sheetView topLeftCell="A7" workbookViewId="0">
      <selection activeCell="B29" sqref="B29"/>
    </sheetView>
  </sheetViews>
  <sheetFormatPr defaultColWidth="9.140625" defaultRowHeight="16.5" x14ac:dyDescent="0.25"/>
  <cols>
    <col min="1" max="1" width="35.85546875" style="58" customWidth="1"/>
    <col min="2" max="6" width="11.7109375" style="58" customWidth="1"/>
    <col min="7" max="16384" width="9.140625" style="58"/>
  </cols>
  <sheetData>
    <row r="1" spans="1:7" s="102" customFormat="1" ht="14.25" x14ac:dyDescent="0.25">
      <c r="B1" s="263"/>
      <c r="C1" s="263"/>
      <c r="D1" s="263"/>
      <c r="E1" s="263"/>
    </row>
    <row r="2" spans="1:7" s="102" customFormat="1" ht="18" x14ac:dyDescent="0.25">
      <c r="A2" s="597" t="s">
        <v>736</v>
      </c>
      <c r="B2" s="597"/>
      <c r="C2" s="597"/>
      <c r="D2" s="597"/>
      <c r="E2" s="597"/>
    </row>
    <row r="3" spans="1:7" x14ac:dyDescent="0.25">
      <c r="B3" s="494"/>
      <c r="C3" s="494"/>
      <c r="D3" s="494"/>
      <c r="E3" s="494"/>
    </row>
    <row r="4" spans="1:7" x14ac:dyDescent="0.25">
      <c r="A4" s="57" t="s">
        <v>725</v>
      </c>
      <c r="B4" s="494"/>
      <c r="C4" s="494"/>
      <c r="D4" s="494"/>
      <c r="E4" s="494"/>
    </row>
    <row r="5" spans="1:7" ht="17.25" thickBot="1" x14ac:dyDescent="0.3">
      <c r="B5" s="494"/>
      <c r="C5" s="494"/>
      <c r="D5" s="494"/>
      <c r="E5" s="494"/>
    </row>
    <row r="6" spans="1:7" x14ac:dyDescent="0.25">
      <c r="A6" s="495" t="s">
        <v>511</v>
      </c>
      <c r="B6" s="496">
        <v>2021</v>
      </c>
      <c r="C6" s="496">
        <f t="shared" ref="C6:E6" si="0">B6+1</f>
        <v>2022</v>
      </c>
      <c r="D6" s="496">
        <f t="shared" si="0"/>
        <v>2023</v>
      </c>
      <c r="E6" s="497">
        <f t="shared" si="0"/>
        <v>2024</v>
      </c>
    </row>
    <row r="7" spans="1:7" x14ac:dyDescent="0.25">
      <c r="A7" s="376" t="s">
        <v>717</v>
      </c>
      <c r="B7" s="410">
        <v>1039964.7010008072</v>
      </c>
      <c r="C7" s="410">
        <v>1055000.5298368637</v>
      </c>
      <c r="D7" s="410">
        <v>1070506.1068272395</v>
      </c>
      <c r="E7" s="498">
        <v>1086498.7322886314</v>
      </c>
    </row>
    <row r="8" spans="1:7" x14ac:dyDescent="0.25">
      <c r="A8" s="376" t="s">
        <v>718</v>
      </c>
      <c r="B8" s="410">
        <v>4811.3516817584332</v>
      </c>
      <c r="C8" s="410">
        <v>4930.6245565488171</v>
      </c>
      <c r="D8" s="410">
        <v>5053.6237448935799</v>
      </c>
      <c r="E8" s="498">
        <v>5180.4864828925547</v>
      </c>
    </row>
    <row r="9" spans="1:7" x14ac:dyDescent="0.25">
      <c r="A9" s="376" t="s">
        <v>719</v>
      </c>
      <c r="B9" s="410">
        <v>82302.842216139266</v>
      </c>
      <c r="C9" s="410">
        <v>83371.41297518248</v>
      </c>
      <c r="D9" s="410">
        <v>84519.017966221945</v>
      </c>
      <c r="E9" s="498">
        <v>85751.602189742407</v>
      </c>
    </row>
    <row r="10" spans="1:7" x14ac:dyDescent="0.25">
      <c r="A10" s="376" t="s">
        <v>720</v>
      </c>
      <c r="B10" s="410">
        <v>186551.88281862557</v>
      </c>
      <c r="C10" s="410">
        <v>191176.48331201629</v>
      </c>
      <c r="D10" s="410">
        <v>195945.56520180494</v>
      </c>
      <c r="E10" s="498">
        <v>200864.44958162753</v>
      </c>
    </row>
    <row r="11" spans="1:7" x14ac:dyDescent="0.25">
      <c r="A11" s="376" t="s">
        <v>721</v>
      </c>
      <c r="B11" s="410">
        <v>216302.83863482915</v>
      </c>
      <c r="C11" s="410">
        <v>219111.18500829008</v>
      </c>
      <c r="D11" s="410">
        <v>222127.24387708883</v>
      </c>
      <c r="E11" s="498">
        <v>225366.63949484675</v>
      </c>
    </row>
    <row r="12" spans="1:7" x14ac:dyDescent="0.25">
      <c r="A12" s="376" t="s">
        <v>722</v>
      </c>
      <c r="B12" s="410">
        <v>98205.705858862202</v>
      </c>
      <c r="C12" s="410">
        <v>100640.21441973389</v>
      </c>
      <c r="D12" s="410">
        <v>103150.78170111997</v>
      </c>
      <c r="E12" s="498">
        <v>105740.20886347278</v>
      </c>
    </row>
    <row r="13" spans="1:7" x14ac:dyDescent="0.25">
      <c r="A13" s="376" t="s">
        <v>723</v>
      </c>
      <c r="B13" s="410">
        <v>17271.527321752517</v>
      </c>
      <c r="C13" s="410">
        <v>17768.638312862244</v>
      </c>
      <c r="D13" s="410">
        <v>18296.8693661414</v>
      </c>
      <c r="E13" s="498">
        <v>18860.48486534656</v>
      </c>
    </row>
    <row r="14" spans="1:7" x14ac:dyDescent="0.25">
      <c r="A14" s="376" t="s">
        <v>724</v>
      </c>
      <c r="B14" s="410">
        <v>39152.07955991324</v>
      </c>
      <c r="C14" s="410">
        <v>40122.655271690346</v>
      </c>
      <c r="D14" s="410">
        <v>41123.553631736831</v>
      </c>
      <c r="E14" s="498">
        <v>42155.8913904078</v>
      </c>
    </row>
    <row r="15" spans="1:7" ht="17.25" thickBot="1" x14ac:dyDescent="0.3">
      <c r="A15" s="499" t="s">
        <v>32</v>
      </c>
      <c r="B15" s="500">
        <f>SUM(B7:B14)</f>
        <v>1684562.9290926876</v>
      </c>
      <c r="C15" s="500">
        <f>SUM(C7:C14)</f>
        <v>1712121.7436931881</v>
      </c>
      <c r="D15" s="500">
        <f>SUM(D7:D14)</f>
        <v>1740722.7623162474</v>
      </c>
      <c r="E15" s="501">
        <f>SUM(E7:E14)</f>
        <v>1770418.4951569678</v>
      </c>
      <c r="G15" s="493"/>
    </row>
    <row r="16" spans="1:7" x14ac:dyDescent="0.25">
      <c r="G16" s="493"/>
    </row>
    <row r="18" spans="1:5" x14ac:dyDescent="0.25">
      <c r="A18" s="57" t="s">
        <v>726</v>
      </c>
    </row>
    <row r="19" spans="1:5" ht="17.25" thickBot="1" x14ac:dyDescent="0.3"/>
    <row r="20" spans="1:5" x14ac:dyDescent="0.25">
      <c r="A20" s="495" t="s">
        <v>511</v>
      </c>
      <c r="B20" s="496">
        <v>2021</v>
      </c>
      <c r="C20" s="496">
        <f t="shared" ref="C20" si="1">B20+1</f>
        <v>2022</v>
      </c>
      <c r="D20" s="496">
        <f t="shared" ref="D20" si="2">C20+1</f>
        <v>2023</v>
      </c>
      <c r="E20" s="497">
        <f t="shared" ref="E20" si="3">D20+1</f>
        <v>2024</v>
      </c>
    </row>
    <row r="21" spans="1:5" x14ac:dyDescent="0.25">
      <c r="A21" s="376" t="s">
        <v>717</v>
      </c>
      <c r="B21" s="502">
        <f>(B7-'P2 - Projeção OPEX'!E5)/B7</f>
        <v>-5.6296356780739104E-4</v>
      </c>
      <c r="C21" s="502">
        <f>(C7-'P2 - Projeção OPEX'!F5)/C7</f>
        <v>-5.7702105796697621E-4</v>
      </c>
      <c r="D21" s="502">
        <f>(D7-'P2 - Projeção OPEX'!G5)/D7</f>
        <v>-5.6500190321314521E-4</v>
      </c>
      <c r="E21" s="503">
        <f>(E7-'P2 - Projeção OPEX'!H5)/E7</f>
        <v>-6.0835055070104695E-5</v>
      </c>
    </row>
    <row r="22" spans="1:5" x14ac:dyDescent="0.25">
      <c r="A22" s="376" t="s">
        <v>718</v>
      </c>
      <c r="B22" s="502">
        <f>(B8-'P2 - Projeção OPEX'!E6)/B8</f>
        <v>-9.6526398004757202E-4</v>
      </c>
      <c r="C22" s="502">
        <f>(C8-'P2 - Projeção OPEX'!F6)/C8</f>
        <v>-9.793923782250788E-4</v>
      </c>
      <c r="D22" s="502">
        <f>(D8-'P2 - Projeção OPEX'!G6)/D8</f>
        <v>-9.4940271482071034E-4</v>
      </c>
      <c r="E22" s="503">
        <f>(E8-'P2 - Projeção OPEX'!H6)/E8</f>
        <v>-1.0121080950234344E-4</v>
      </c>
    </row>
    <row r="23" spans="1:5" x14ac:dyDescent="0.25">
      <c r="A23" s="376" t="s">
        <v>719</v>
      </c>
      <c r="B23" s="502">
        <f>(B9-'P2 - Projeção OPEX'!E7)/B9</f>
        <v>-8.2477961419785053E-3</v>
      </c>
      <c r="C23" s="502">
        <f>(C9-'P2 - Projeção OPEX'!F7)/C9</f>
        <v>-9.1713010022243212E-3</v>
      </c>
      <c r="D23" s="502">
        <f>(D9-'P2 - Projeção OPEX'!G7)/D9</f>
        <v>-1.0089850695632094E-2</v>
      </c>
      <c r="E23" s="503">
        <f>(E9-'P2 - Projeção OPEX'!H7)/E9</f>
        <v>-1.1004713570850824E-2</v>
      </c>
    </row>
    <row r="24" spans="1:5" x14ac:dyDescent="0.25">
      <c r="A24" s="376" t="s">
        <v>720</v>
      </c>
      <c r="B24" s="502">
        <f>(B10-'P2 - Projeção OPEX'!E8)/B10</f>
        <v>-9.6526398004767404E-4</v>
      </c>
      <c r="C24" s="502">
        <f>(C10-'P2 - Projeção OPEX'!F8)/C10</f>
        <v>-9.7939237822490836E-4</v>
      </c>
      <c r="D24" s="502">
        <f>(D10-'P2 - Projeção OPEX'!G8)/D10</f>
        <v>-9.4940271482072129E-4</v>
      </c>
      <c r="E24" s="503">
        <f>(E10-'P2 - Projeção OPEX'!H8)/E10</f>
        <v>-1.0121080950249993E-4</v>
      </c>
    </row>
    <row r="25" spans="1:5" x14ac:dyDescent="0.25">
      <c r="A25" s="376" t="s">
        <v>721</v>
      </c>
      <c r="B25" s="502">
        <f>(B11-'P2 - Projeção OPEX'!E9)/B11</f>
        <v>-8.2477961419783127E-3</v>
      </c>
      <c r="C25" s="502">
        <f>(C11-'P2 - Projeção OPEX'!F9)/C11</f>
        <v>-9.1713010022239257E-3</v>
      </c>
      <c r="D25" s="502">
        <f>(D11-'P2 - Projeção OPEX'!G9)/D11</f>
        <v>-1.0089850695631926E-2</v>
      </c>
      <c r="E25" s="503">
        <f>(E11-'P2 - Projeção OPEX'!H9)/E11</f>
        <v>-1.1004713570850757E-2</v>
      </c>
    </row>
    <row r="26" spans="1:5" x14ac:dyDescent="0.25">
      <c r="A26" s="376" t="s">
        <v>722</v>
      </c>
      <c r="B26" s="502">
        <f>(B12-'P2 - Projeção OPEX'!E10)/B12</f>
        <v>-9.6526398004776934E-4</v>
      </c>
      <c r="C26" s="502">
        <f>(C12-'P2 - Projeção OPEX'!F10)/C12</f>
        <v>-9.7939237822501635E-4</v>
      </c>
      <c r="D26" s="502">
        <f>(D12-'P2 - Projeção OPEX'!G10)/D12</f>
        <v>-9.4940271482087969E-4</v>
      </c>
      <c r="E26" s="503">
        <f>(E12-'P2 - Projeção OPEX'!H10)/E12</f>
        <v>-1.0121080950253426E-4</v>
      </c>
    </row>
    <row r="27" spans="1:5" x14ac:dyDescent="0.25">
      <c r="A27" s="376" t="s">
        <v>723</v>
      </c>
      <c r="B27" s="502">
        <f>(B13-'P2 - Projeção OPEX'!E11)/B13</f>
        <v>-9.3297014626836969E-2</v>
      </c>
      <c r="C27" s="502">
        <f>(C13-'P2 - Projeção OPEX'!F11)/C13</f>
        <v>-0.1059406701715124</v>
      </c>
      <c r="D27" s="502">
        <f>(D13-'P2 - Projeção OPEX'!G11)/D13</f>
        <v>-0.11376302807472446</v>
      </c>
      <c r="E27" s="503">
        <f>(E13-'P2 - Projeção OPEX'!H11)/E13</f>
        <v>-0.11736613477845614</v>
      </c>
    </row>
    <row r="28" spans="1:5" x14ac:dyDescent="0.25">
      <c r="A28" s="376" t="s">
        <v>724</v>
      </c>
      <c r="B28" s="502">
        <f>(B14-'P2 - Projeção OPEX'!E12)/B14</f>
        <v>-9.6526398004762796E-4</v>
      </c>
      <c r="C28" s="502">
        <f>(C14-'P2 - Projeção OPEX'!F12)/C14</f>
        <v>-9.793923782249964E-4</v>
      </c>
      <c r="D28" s="502">
        <f>(D14-'P2 - Projeção OPEX'!G12)/D14</f>
        <v>-9.4940271482076683E-4</v>
      </c>
      <c r="E28" s="503">
        <f>(E14-'P2 - Projeção OPEX'!H12)/E14</f>
        <v>-1.0121080950240567E-4</v>
      </c>
    </row>
    <row r="29" spans="1:5" ht="17.25" thickBot="1" x14ac:dyDescent="0.3">
      <c r="A29" s="499" t="s">
        <v>32</v>
      </c>
      <c r="B29" s="504">
        <f>(B15-'P2 - Projeção OPEX'!E13)/B15</f>
        <v>-2.9544669612450785E-3</v>
      </c>
      <c r="C29" s="504">
        <f>(C15-'P2 - Projeção OPEX'!F13)/C15</f>
        <v>-3.2680303465036442E-3</v>
      </c>
      <c r="D29" s="504">
        <f>(D15-'P2 - Projeção OPEX'!G13)/D15</f>
        <v>-3.5089814432539774E-3</v>
      </c>
      <c r="E29" s="505">
        <f>(E15-'P2 - Projeção OPEX'!H13)/E15</f>
        <v>-3.2417585050162905E-3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7FD7-8500-4956-9149-4ADF5A5C73B6}">
  <sheetPr>
    <tabColor theme="1"/>
  </sheetPr>
  <dimension ref="A1:J52"/>
  <sheetViews>
    <sheetView showGridLines="0" topLeftCell="A37" zoomScale="85" zoomScaleNormal="85" workbookViewId="0">
      <selection activeCell="G61" sqref="G61"/>
    </sheetView>
  </sheetViews>
  <sheetFormatPr defaultColWidth="8.85546875" defaultRowHeight="15" x14ac:dyDescent="0.25"/>
  <cols>
    <col min="1" max="1" width="9.28515625" style="59" customWidth="1"/>
    <col min="2" max="2" width="45" style="59" bestFit="1" customWidth="1"/>
    <col min="3" max="7" width="15.7109375" style="59" customWidth="1"/>
    <col min="8" max="8" width="8.85546875" style="59"/>
    <col min="9" max="9" width="10" style="59" bestFit="1" customWidth="1"/>
    <col min="10" max="16384" width="8.85546875" style="59"/>
  </cols>
  <sheetData>
    <row r="1" spans="1:10" ht="14.1" customHeight="1" x14ac:dyDescent="0.25">
      <c r="A1" s="314"/>
      <c r="B1" s="314"/>
      <c r="C1" s="314"/>
      <c r="D1" s="314"/>
      <c r="E1" s="314"/>
      <c r="F1" s="314"/>
      <c r="G1" s="314"/>
      <c r="H1" s="314"/>
    </row>
    <row r="2" spans="1:10" s="102" customFormat="1" ht="21.6" customHeight="1" x14ac:dyDescent="0.25">
      <c r="B2" s="557" t="s">
        <v>686</v>
      </c>
      <c r="C2" s="557"/>
      <c r="D2" s="557"/>
      <c r="E2" s="567" t="s">
        <v>685</v>
      </c>
      <c r="F2" s="567"/>
      <c r="G2" s="482">
        <f>'Fator X (componente T)'!C17</f>
        <v>1.4475230330424305E-2</v>
      </c>
    </row>
    <row r="3" spans="1:10" s="102" customFormat="1" x14ac:dyDescent="0.25">
      <c r="B3" s="449"/>
      <c r="C3" s="445"/>
      <c r="D3" s="446"/>
      <c r="E3" s="447"/>
      <c r="F3" s="446"/>
      <c r="G3" s="448"/>
    </row>
    <row r="4" spans="1:10" s="102" customFormat="1" ht="30" x14ac:dyDescent="0.25">
      <c r="B4" s="560" t="s">
        <v>614</v>
      </c>
      <c r="C4" s="450" t="s">
        <v>615</v>
      </c>
      <c r="D4" s="561" t="s">
        <v>616</v>
      </c>
      <c r="E4" s="561"/>
      <c r="F4" s="561"/>
      <c r="G4" s="561"/>
    </row>
    <row r="5" spans="1:10" s="102" customFormat="1" x14ac:dyDescent="0.25">
      <c r="B5" s="560"/>
      <c r="C5" s="451">
        <v>2020</v>
      </c>
      <c r="D5" s="451">
        <f>C5+1</f>
        <v>2021</v>
      </c>
      <c r="E5" s="451">
        <f t="shared" ref="E5:G5" si="0">D5+1</f>
        <v>2022</v>
      </c>
      <c r="F5" s="451">
        <f t="shared" si="0"/>
        <v>2023</v>
      </c>
      <c r="G5" s="451">
        <f t="shared" si="0"/>
        <v>2024</v>
      </c>
    </row>
    <row r="6" spans="1:10" ht="15.75" x14ac:dyDescent="0.25">
      <c r="A6" s="314"/>
      <c r="B6" s="548"/>
      <c r="C6" s="400"/>
      <c r="D6" s="341">
        <v>1</v>
      </c>
      <c r="E6" s="341">
        <v>2</v>
      </c>
      <c r="F6" s="341">
        <v>3</v>
      </c>
      <c r="G6" s="341">
        <v>4</v>
      </c>
      <c r="H6" s="401"/>
      <c r="I6" s="549"/>
      <c r="J6" s="549"/>
    </row>
    <row r="7" spans="1:10" ht="15.75" x14ac:dyDescent="0.25">
      <c r="A7" s="314"/>
      <c r="B7" s="342" t="s">
        <v>617</v>
      </c>
      <c r="C7" s="343">
        <f>'P1 - Projeções Dados Oper.'!D9</f>
        <v>281550.77100000001</v>
      </c>
      <c r="D7" s="344">
        <f>'P1 - Projeções Dados Oper.'!E9</f>
        <v>292184.01656238904</v>
      </c>
      <c r="E7" s="344">
        <f>'P1 - Projeções Dados Oper.'!F9</f>
        <v>299324.01534057234</v>
      </c>
      <c r="F7" s="344">
        <f>'P1 - Projeções Dados Oper.'!G9</f>
        <v>306683.01422164188</v>
      </c>
      <c r="G7" s="344">
        <f>'P1 - Projeções Dados Oper.'!H9</f>
        <v>313981.75831237552</v>
      </c>
      <c r="H7" s="314"/>
    </row>
    <row r="8" spans="1:10" ht="15.75" x14ac:dyDescent="0.25">
      <c r="A8" s="314"/>
      <c r="B8" s="342" t="s">
        <v>618</v>
      </c>
      <c r="C8" s="343">
        <f>'P1 - Projeções Dados Oper.'!D16</f>
        <v>172183.12599999999</v>
      </c>
      <c r="D8" s="344">
        <f>'P1 - Projeções Dados Oper.'!E16</f>
        <v>181108.69386297074</v>
      </c>
      <c r="E8" s="344">
        <f>'P1 - Projeções Dados Oper.'!F16</f>
        <v>194487.84716711278</v>
      </c>
      <c r="F8" s="344">
        <f>'P1 - Projeções Dados Oper.'!G16</f>
        <v>206399.48152467082</v>
      </c>
      <c r="G8" s="344">
        <f>'P1 - Projeções Dados Oper.'!H16</f>
        <v>217449.53258227449</v>
      </c>
      <c r="H8" s="314"/>
    </row>
    <row r="9" spans="1:10" ht="15.75" x14ac:dyDescent="0.25">
      <c r="A9" s="314"/>
      <c r="B9" s="342" t="s">
        <v>702</v>
      </c>
      <c r="C9" s="343">
        <f>'P1 - Projeções Dados Oper.'!D17</f>
        <v>159726.89600000001</v>
      </c>
      <c r="D9" s="344">
        <f>'P1 - Projeções Dados Oper.'!E17</f>
        <v>168482.04670111727</v>
      </c>
      <c r="E9" s="344">
        <f>'P1 - Projeções Dados Oper.'!F17</f>
        <v>180950.19754647565</v>
      </c>
      <c r="F9" s="344">
        <f>'P1 - Projeções Dados Oper.'!G17</f>
        <v>192068.65194419216</v>
      </c>
      <c r="G9" s="344">
        <f>'P1 - Projeções Dados Oper.'!H17</f>
        <v>202416.96472234844</v>
      </c>
      <c r="H9" s="314"/>
    </row>
    <row r="10" spans="1:10" ht="15.75" x14ac:dyDescent="0.25">
      <c r="A10" s="314"/>
      <c r="B10" s="342" t="s">
        <v>619</v>
      </c>
      <c r="C10" s="343">
        <f>'P1 - Projeções Dados Oper.'!D19</f>
        <v>2522448</v>
      </c>
      <c r="D10" s="344">
        <f>'P1 - Projeções Dados Oper.'!E19</f>
        <v>2588557.2643689625</v>
      </c>
      <c r="E10" s="344">
        <f>'P1 - Projeções Dados Oper.'!F19</f>
        <v>2652764.7546233824</v>
      </c>
      <c r="F10" s="344">
        <f>'P1 - Projeções Dados Oper.'!G19</f>
        <v>2718859.0714079053</v>
      </c>
      <c r="G10" s="344">
        <f>'P1 - Projeções Dados Oper.'!H19</f>
        <v>2784749.6997312419</v>
      </c>
      <c r="H10" s="314"/>
    </row>
    <row r="11" spans="1:10" ht="15.75" x14ac:dyDescent="0.25">
      <c r="A11" s="314"/>
      <c r="B11" s="339"/>
      <c r="C11" s="340"/>
      <c r="D11" s="339"/>
      <c r="E11" s="339"/>
      <c r="F11" s="339"/>
      <c r="G11" s="339"/>
      <c r="H11" s="314"/>
    </row>
    <row r="12" spans="1:10" ht="15.75" x14ac:dyDescent="0.25">
      <c r="A12" s="314"/>
      <c r="B12" s="342" t="s">
        <v>669</v>
      </c>
      <c r="C12" s="343">
        <f t="shared" ref="C12:C27" si="1">NPV($C$36,D12:G12)</f>
        <v>5125777.8652532054</v>
      </c>
      <c r="D12" s="345">
        <f>D7*$D$40</f>
        <v>1507539.045116225</v>
      </c>
      <c r="E12" s="345">
        <f>E7*$D$40</f>
        <v>1544378.2503090084</v>
      </c>
      <c r="F12" s="345">
        <f>F7*$D$40</f>
        <v>1582347.3982340118</v>
      </c>
      <c r="G12" s="345">
        <f>G7*$D$40</f>
        <v>1620005.6583488076</v>
      </c>
      <c r="H12" s="314"/>
    </row>
    <row r="13" spans="1:10" ht="15.75" x14ac:dyDescent="0.25">
      <c r="A13" s="314"/>
      <c r="B13" s="342" t="s">
        <v>670</v>
      </c>
      <c r="C13" s="343">
        <f t="shared" si="1"/>
        <v>2694486.493595975</v>
      </c>
      <c r="D13" s="345">
        <f>D8*($D$40*0.8)</f>
        <v>747551.98623297957</v>
      </c>
      <c r="E13" s="345">
        <f>E8*($D$40*0.8)</f>
        <v>802776.35129959672</v>
      </c>
      <c r="F13" s="345">
        <f>F8*($D$40*0.8)</f>
        <v>851943.3224335768</v>
      </c>
      <c r="G13" s="345">
        <f>G8*($D$40*0.8)</f>
        <v>897553.98551051039</v>
      </c>
      <c r="H13" s="314"/>
    </row>
    <row r="14" spans="1:10" ht="15.75" x14ac:dyDescent="0.25">
      <c r="A14" s="314"/>
      <c r="B14" s="342" t="s">
        <v>671</v>
      </c>
      <c r="C14" s="343">
        <f t="shared" si="1"/>
        <v>626820.30402224732</v>
      </c>
      <c r="D14" s="345">
        <f>D9*($D$40*0.2)</f>
        <v>173858.42442123816</v>
      </c>
      <c r="E14" s="345">
        <f t="shared" ref="E14:G14" si="2">E9*($D$40*0.2)</f>
        <v>186724.4425155326</v>
      </c>
      <c r="F14" s="345">
        <f t="shared" si="2"/>
        <v>198197.69442239919</v>
      </c>
      <c r="G14" s="345">
        <f t="shared" si="2"/>
        <v>208876.22896216559</v>
      </c>
      <c r="H14" s="314"/>
    </row>
    <row r="15" spans="1:10" ht="15.75" x14ac:dyDescent="0.25">
      <c r="A15" s="314"/>
      <c r="B15" s="342" t="s">
        <v>672</v>
      </c>
      <c r="C15" s="343">
        <f t="shared" si="1"/>
        <v>1234535.7649431147</v>
      </c>
      <c r="D15" s="345">
        <f>(D10*$D$41)/1000</f>
        <v>362902.98128300108</v>
      </c>
      <c r="E15" s="345">
        <f>(E10*$D$41)/1000</f>
        <v>371904.55523106997</v>
      </c>
      <c r="F15" s="345">
        <f>(F10*$D$41)/1000</f>
        <v>381170.6529671051</v>
      </c>
      <c r="G15" s="345">
        <f>(G10*$D$41)/1000</f>
        <v>390408.1945839324</v>
      </c>
      <c r="H15" s="314"/>
    </row>
    <row r="16" spans="1:10" ht="15.75" x14ac:dyDescent="0.25">
      <c r="A16" s="314"/>
      <c r="B16" s="342" t="s">
        <v>620</v>
      </c>
      <c r="C16" s="343">
        <f t="shared" si="1"/>
        <v>29904.008797595598</v>
      </c>
      <c r="D16" s="345">
        <f>'DE8 - Outras Receitas'!D18</f>
        <v>9100</v>
      </c>
      <c r="E16" s="345">
        <f>D16</f>
        <v>9100</v>
      </c>
      <c r="F16" s="345">
        <f t="shared" ref="F16:G16" si="3">E16</f>
        <v>9100</v>
      </c>
      <c r="G16" s="345">
        <f t="shared" si="3"/>
        <v>9100</v>
      </c>
      <c r="H16" s="314"/>
    </row>
    <row r="17" spans="1:9" ht="15.75" x14ac:dyDescent="0.25">
      <c r="A17" s="314"/>
      <c r="B17" s="342" t="s">
        <v>621</v>
      </c>
      <c r="C17" s="343">
        <f t="shared" si="1"/>
        <v>7997.411864470675</v>
      </c>
      <c r="D17" s="345">
        <f>(D12+D13+D14)*'DE8 - Outras Receitas'!$D$11</f>
        <v>2299.6465610390678</v>
      </c>
      <c r="E17" s="345">
        <f>(E12+E13+E14)*'DE8 - Outras Receitas'!$D$11</f>
        <v>2398.9903190722216</v>
      </c>
      <c r="F17" s="345">
        <f>(F12+F13+F14)*'DE8 - Outras Receitas'!$D$11</f>
        <v>2492.3503106888088</v>
      </c>
      <c r="G17" s="345">
        <f>(G12+G13+G14)*'DE8 - Outras Receitas'!$D$11</f>
        <v>2581.2965617428763</v>
      </c>
      <c r="H17" s="314"/>
    </row>
    <row r="18" spans="1:9" ht="15.75" x14ac:dyDescent="0.25">
      <c r="A18" s="314"/>
      <c r="B18" s="346" t="s">
        <v>677</v>
      </c>
      <c r="C18" s="347">
        <f t="shared" si="1"/>
        <v>9719521.8484766092</v>
      </c>
      <c r="D18" s="347">
        <f t="shared" ref="D18:G18" si="4">SUM(D12:D17)</f>
        <v>2803252.083614483</v>
      </c>
      <c r="E18" s="347">
        <f t="shared" si="4"/>
        <v>2917282.58967428</v>
      </c>
      <c r="F18" s="347">
        <f t="shared" si="4"/>
        <v>3025251.4183677817</v>
      </c>
      <c r="G18" s="347">
        <f t="shared" si="4"/>
        <v>3128525.3639671588</v>
      </c>
      <c r="H18" s="314"/>
      <c r="I18" s="348"/>
    </row>
    <row r="19" spans="1:9" ht="15.75" x14ac:dyDescent="0.25">
      <c r="A19" s="314"/>
      <c r="B19" s="342" t="s">
        <v>622</v>
      </c>
      <c r="C19" s="343">
        <f t="shared" si="1"/>
        <v>822822.87503059255</v>
      </c>
      <c r="D19" s="345">
        <f>(D12+D13+D14+D15)*'DE6 - Deduções Receita Bruta'!$D$9</f>
        <v>237274.33501914659</v>
      </c>
      <c r="E19" s="345">
        <f>(E12+E13+E14+E15)*'DE6 - Deduções Receita Bruta'!$D$9</f>
        <v>246957.13215209264</v>
      </c>
      <c r="F19" s="345">
        <f>(F12+F13+F14+F15)*'DE6 - Deduções Receita Bruta'!$D$9</f>
        <v>256125.26717291522</v>
      </c>
      <c r="G19" s="345">
        <f>(G12+G13+G14+G15)*'DE6 - Deduções Receita Bruta'!$D$9</f>
        <v>264894.76794572978</v>
      </c>
      <c r="H19" s="314"/>
    </row>
    <row r="20" spans="1:9" ht="15.75" x14ac:dyDescent="0.25">
      <c r="A20" s="314"/>
      <c r="B20" s="342" t="s">
        <v>676</v>
      </c>
      <c r="C20" s="343">
        <f t="shared" si="1"/>
        <v>5568169.3889868427</v>
      </c>
      <c r="D20" s="407">
        <f>'P2 - Projeção OPEX'!E13</f>
        <v>1689539.9146108301</v>
      </c>
      <c r="E20" s="407">
        <f>'P2 - Projeção OPEX'!F13*((1-$G$2)^(E6-1))</f>
        <v>1692852.6601533631</v>
      </c>
      <c r="F20" s="407">
        <f>'P2 - Projeção OPEX'!G13*((1-$G$2)^(F6-1))</f>
        <v>1696625.3836669875</v>
      </c>
      <c r="G20" s="407">
        <f>'P2 - Projeção OPEX'!H13*((1-$G$2)^(G6-1))</f>
        <v>1700137.9862350859</v>
      </c>
      <c r="H20" s="314"/>
    </row>
    <row r="21" spans="1:9" ht="15.75" x14ac:dyDescent="0.25">
      <c r="A21" s="314"/>
      <c r="B21" s="342" t="s">
        <v>623</v>
      </c>
      <c r="C21" s="343">
        <f t="shared" si="1"/>
        <v>1053768.6442337213</v>
      </c>
      <c r="D21" s="345">
        <f>Depreciação!D24</f>
        <v>292320.14212478488</v>
      </c>
      <c r="E21" s="345">
        <f>Depreciação!E24</f>
        <v>314054.97767301468</v>
      </c>
      <c r="F21" s="345">
        <f>Depreciação!F24</f>
        <v>337673.23196844279</v>
      </c>
      <c r="G21" s="345">
        <f>Depreciação!G24</f>
        <v>346074.65572066628</v>
      </c>
      <c r="H21" s="314"/>
    </row>
    <row r="22" spans="1:9" ht="15.75" x14ac:dyDescent="0.25">
      <c r="A22" s="314"/>
      <c r="B22" s="342" t="s">
        <v>624</v>
      </c>
      <c r="C22" s="343">
        <f t="shared" si="1"/>
        <v>165987.99681723025</v>
      </c>
      <c r="D22" s="345">
        <f>(D12+D13+D14+D15)*'P4 - Receitas Irrecuperáveis'!$F$8</f>
        <v>47865.333793137681</v>
      </c>
      <c r="E22" s="345">
        <f>(E12+E13+E14+E15)*'P4 - Receitas Irrecuperáveis'!$F$8</f>
        <v>49818.643731957236</v>
      </c>
      <c r="F22" s="345">
        <f>(F12+F13+F14+F15)*'P4 - Receitas Irrecuperáveis'!$F$8</f>
        <v>51668.130921529657</v>
      </c>
      <c r="G22" s="345">
        <f>(G12+G13+G14+G15)*'P4 - Receitas Irrecuperáveis'!$F$8</f>
        <v>53437.201654173703</v>
      </c>
      <c r="H22" s="314"/>
    </row>
    <row r="23" spans="1:9" ht="15.75" x14ac:dyDescent="0.25">
      <c r="A23" s="314"/>
      <c r="B23" s="346" t="s">
        <v>625</v>
      </c>
      <c r="C23" s="347">
        <f t="shared" si="1"/>
        <v>2108772.9434082215</v>
      </c>
      <c r="D23" s="347">
        <f>D18-D19-D20-D21-D22</f>
        <v>536252.35806658375</v>
      </c>
      <c r="E23" s="347">
        <f t="shared" ref="E23:G23" si="5">E18-E19-E20-E21-E22</f>
        <v>613599.17596385244</v>
      </c>
      <c r="F23" s="347">
        <f t="shared" si="5"/>
        <v>683159.40463790635</v>
      </c>
      <c r="G23" s="347">
        <f t="shared" si="5"/>
        <v>763980.75241150334</v>
      </c>
      <c r="H23" s="314"/>
    </row>
    <row r="24" spans="1:9" ht="15.75" x14ac:dyDescent="0.25">
      <c r="A24" s="314"/>
      <c r="B24" s="342" t="s">
        <v>626</v>
      </c>
      <c r="C24" s="343">
        <f t="shared" si="1"/>
        <v>716982.80075879511</v>
      </c>
      <c r="D24" s="345">
        <f>D23*0.34</f>
        <v>182325.80174263849</v>
      </c>
      <c r="E24" s="345">
        <f t="shared" ref="E24:G24" si="6">E23*0.34</f>
        <v>208623.71982770984</v>
      </c>
      <c r="F24" s="345">
        <f t="shared" si="6"/>
        <v>232274.19757688817</v>
      </c>
      <c r="G24" s="345">
        <f t="shared" si="6"/>
        <v>259753.45581991115</v>
      </c>
      <c r="H24" s="314"/>
    </row>
    <row r="25" spans="1:9" ht="15.75" x14ac:dyDescent="0.25">
      <c r="A25" s="314"/>
      <c r="B25" s="342" t="s">
        <v>627</v>
      </c>
      <c r="C25" s="343">
        <f t="shared" si="1"/>
        <v>1625617.6474090931</v>
      </c>
      <c r="D25" s="345">
        <f>'DE7 - CAPEX'!H20/1000</f>
        <v>374904.57954815461</v>
      </c>
      <c r="E25" s="345">
        <f>'DE7 - CAPEX'!I20/1000</f>
        <v>644210.58113128517</v>
      </c>
      <c r="F25" s="345">
        <f>'DE7 - CAPEX'!J20/1000</f>
        <v>700034.25106215919</v>
      </c>
      <c r="G25" s="345">
        <f>'DE7 - CAPEX'!K20/1000</f>
        <v>249014.35604333004</v>
      </c>
      <c r="H25" s="314"/>
    </row>
    <row r="26" spans="1:9" ht="15.75" x14ac:dyDescent="0.25">
      <c r="A26" s="314"/>
      <c r="B26" s="342" t="s">
        <v>678</v>
      </c>
      <c r="C26" s="343">
        <f t="shared" si="1"/>
        <v>53854.472341761153</v>
      </c>
      <c r="D26" s="345">
        <f>'P3 - WK - Capital de Giro'!D20</f>
        <v>11269.689765304618</v>
      </c>
      <c r="E26" s="345">
        <f>'P3 - WK - Capital de Giro'!E20</f>
        <v>19429.675092119433</v>
      </c>
      <c r="F26" s="345">
        <f>'P3 - WK - Capital de Giro'!F20</f>
        <v>18219.523578774708</v>
      </c>
      <c r="G26" s="345">
        <f>'P3 - WK - Capital de Giro'!G20</f>
        <v>17344.958026264969</v>
      </c>
      <c r="H26" s="314"/>
    </row>
    <row r="27" spans="1:9" ht="15.75" x14ac:dyDescent="0.25">
      <c r="A27" s="314"/>
      <c r="B27" s="342" t="s">
        <v>628</v>
      </c>
      <c r="C27" s="343">
        <f t="shared" si="1"/>
        <v>1053768.6442337213</v>
      </c>
      <c r="D27" s="345">
        <f>D21</f>
        <v>292320.14212478488</v>
      </c>
      <c r="E27" s="345">
        <f t="shared" ref="E27:G27" si="7">E21</f>
        <v>314054.97767301468</v>
      </c>
      <c r="F27" s="345">
        <f t="shared" si="7"/>
        <v>337673.23196844279</v>
      </c>
      <c r="G27" s="345">
        <f t="shared" si="7"/>
        <v>346074.65572066628</v>
      </c>
      <c r="H27" s="314"/>
    </row>
    <row r="28" spans="1:9" ht="15.75" x14ac:dyDescent="0.25">
      <c r="A28" s="314"/>
      <c r="B28" s="342" t="s">
        <v>679</v>
      </c>
      <c r="C28" s="343">
        <f>BAR0!E27/1000</f>
        <v>4757157.2835658239</v>
      </c>
      <c r="D28" s="345"/>
      <c r="E28" s="345"/>
      <c r="F28" s="345"/>
      <c r="G28" s="345"/>
      <c r="H28" s="314"/>
    </row>
    <row r="29" spans="1:9" ht="15.75" x14ac:dyDescent="0.25">
      <c r="A29" s="314"/>
      <c r="B29" s="342" t="s">
        <v>680</v>
      </c>
      <c r="C29" s="343">
        <f>NPV(C36,D29:G29)</f>
        <v>5077277.8990448173</v>
      </c>
      <c r="D29" s="345"/>
      <c r="E29" s="345"/>
      <c r="F29" s="345"/>
      <c r="G29" s="343">
        <f>BARt!E9</f>
        <v>5501461.890326309</v>
      </c>
      <c r="H29" s="314"/>
    </row>
    <row r="30" spans="1:9" ht="15.75" x14ac:dyDescent="0.25">
      <c r="A30" s="314"/>
      <c r="B30" s="339"/>
      <c r="C30" s="339"/>
      <c r="D30" s="339"/>
      <c r="E30" s="339"/>
      <c r="F30" s="339"/>
      <c r="G30" s="339"/>
      <c r="H30" s="314"/>
    </row>
    <row r="31" spans="1:9" ht="15.75" x14ac:dyDescent="0.25">
      <c r="A31" s="314"/>
      <c r="B31" s="408" t="s">
        <v>629</v>
      </c>
      <c r="C31" s="409">
        <f>-C28</f>
        <v>-4757157.2835658239</v>
      </c>
      <c r="D31" s="409">
        <f>D23-D24-D25-D26+D27-D28+D29</f>
        <v>260072.42913527094</v>
      </c>
      <c r="E31" s="409">
        <f t="shared" ref="E31:G31" si="8">E23-E24-E25-E26+E27-E28+E29</f>
        <v>55390.177585752681</v>
      </c>
      <c r="F31" s="409">
        <f t="shared" si="8"/>
        <v>70304.664388527104</v>
      </c>
      <c r="G31" s="409">
        <f t="shared" si="8"/>
        <v>6085404.5285689728</v>
      </c>
      <c r="H31" s="314"/>
    </row>
    <row r="32" spans="1:9" ht="15.75" x14ac:dyDescent="0.25">
      <c r="A32" s="314"/>
      <c r="B32" s="408" t="s">
        <v>630</v>
      </c>
      <c r="C32" s="409">
        <f>C31</f>
        <v>-4757157.2835658239</v>
      </c>
      <c r="D32" s="409">
        <f>D31/(1+$C$36)^D6</f>
        <v>240019.83889432886</v>
      </c>
      <c r="E32" s="409">
        <f>E31/(1+$C$36)^E6</f>
        <v>47177.878669393882</v>
      </c>
      <c r="F32" s="409">
        <f>F31/(1+$C$36)^F6</f>
        <v>55264.038293444341</v>
      </c>
      <c r="G32" s="409">
        <f>G31/(1+$C$36)^G6</f>
        <v>4414695.527708658</v>
      </c>
      <c r="H32" s="314"/>
    </row>
    <row r="33" spans="1:8" ht="15.75" x14ac:dyDescent="0.25">
      <c r="A33" s="314"/>
      <c r="B33" s="349"/>
      <c r="C33" s="350"/>
      <c r="D33" s="340"/>
      <c r="E33" s="340"/>
      <c r="F33" s="340"/>
      <c r="G33" s="350"/>
      <c r="H33" s="314"/>
    </row>
    <row r="34" spans="1:8" ht="16.5" thickBot="1" x14ac:dyDescent="0.3">
      <c r="A34" s="314"/>
      <c r="B34" s="338"/>
      <c r="C34" s="338"/>
      <c r="D34" s="340"/>
      <c r="E34" s="340"/>
      <c r="F34" s="340"/>
      <c r="G34" s="338"/>
      <c r="H34" s="314"/>
    </row>
    <row r="35" spans="1:8" ht="15.75" x14ac:dyDescent="0.25">
      <c r="A35" s="314"/>
      <c r="B35" s="388" t="s">
        <v>631</v>
      </c>
      <c r="C35" s="389">
        <f>SUM(C32:G32)</f>
        <v>0</v>
      </c>
      <c r="D35" s="340"/>
      <c r="E35" s="340"/>
      <c r="F35" s="340"/>
      <c r="G35" s="338"/>
      <c r="H35" s="314"/>
    </row>
    <row r="36" spans="1:8" ht="16.5" thickBot="1" x14ac:dyDescent="0.3">
      <c r="A36" s="314"/>
      <c r="B36" s="391" t="s">
        <v>634</v>
      </c>
      <c r="C36" s="392">
        <f>WACC!B27</f>
        <v>8.3545553289744764E-2</v>
      </c>
      <c r="D36" s="340"/>
      <c r="E36" s="340"/>
      <c r="F36" s="340"/>
      <c r="G36" s="353"/>
      <c r="H36" s="314"/>
    </row>
    <row r="37" spans="1:8" ht="16.5" thickBot="1" x14ac:dyDescent="0.3">
      <c r="A37" s="314"/>
      <c r="B37" s="351"/>
      <c r="C37" s="352"/>
      <c r="D37" s="350"/>
      <c r="E37" s="350"/>
      <c r="F37" s="350"/>
      <c r="G37" s="353"/>
      <c r="H37" s="314"/>
    </row>
    <row r="38" spans="1:8" ht="16.5" thickBot="1" x14ac:dyDescent="0.3">
      <c r="A38" s="314"/>
      <c r="B38" s="352"/>
      <c r="C38" s="352"/>
      <c r="D38" s="568" t="s">
        <v>636</v>
      </c>
      <c r="E38" s="569"/>
      <c r="F38" s="570"/>
      <c r="G38" s="353"/>
      <c r="H38" s="314"/>
    </row>
    <row r="39" spans="1:8" ht="15.75" x14ac:dyDescent="0.25">
      <c r="A39" s="314"/>
      <c r="B39" s="558" t="s">
        <v>639</v>
      </c>
      <c r="C39" s="559" t="s">
        <v>454</v>
      </c>
      <c r="D39" s="481" t="s">
        <v>632</v>
      </c>
      <c r="E39" s="481" t="s">
        <v>633</v>
      </c>
      <c r="F39" s="430" t="s">
        <v>531</v>
      </c>
      <c r="G39" s="353"/>
      <c r="H39" s="314"/>
    </row>
    <row r="40" spans="1:8" ht="15.75" x14ac:dyDescent="0.25">
      <c r="A40" s="314"/>
      <c r="B40" s="355" t="s">
        <v>93</v>
      </c>
      <c r="C40" s="354" t="s">
        <v>637</v>
      </c>
      <c r="D40" s="356">
        <v>5.1595534309260396</v>
      </c>
      <c r="E40" s="356">
        <f>'IN - Indicadores'!D24</f>
        <v>5.2478847589445952</v>
      </c>
      <c r="F40" s="357">
        <f>D40/E40-1</f>
        <v>-1.683179644293864E-2</v>
      </c>
      <c r="G40" s="353"/>
      <c r="H40" s="314"/>
    </row>
    <row r="41" spans="1:8" ht="16.5" thickBot="1" x14ac:dyDescent="0.3">
      <c r="B41" s="358" t="s">
        <v>635</v>
      </c>
      <c r="C41" s="359" t="s">
        <v>638</v>
      </c>
      <c r="D41" s="360">
        <v>140.19507556517951</v>
      </c>
      <c r="E41" s="360">
        <f>'IN - Indicadores'!D25</f>
        <v>142.59520909846307</v>
      </c>
      <c r="F41" s="361">
        <f>D41/E41-1</f>
        <v>-1.6831796442938418E-2</v>
      </c>
    </row>
    <row r="43" spans="1:8" ht="15.75" thickBot="1" x14ac:dyDescent="0.3"/>
    <row r="44" spans="1:8" ht="15.75" thickBot="1" x14ac:dyDescent="0.3">
      <c r="C44" s="431" t="s">
        <v>684</v>
      </c>
      <c r="D44" s="397">
        <v>9.1122056401085148E-3</v>
      </c>
    </row>
    <row r="45" spans="1:8" ht="15.75" thickBot="1" x14ac:dyDescent="0.3"/>
    <row r="46" spans="1:8" x14ac:dyDescent="0.25">
      <c r="B46" s="396"/>
      <c r="C46" s="432">
        <v>2021</v>
      </c>
      <c r="D46" s="432">
        <v>2022</v>
      </c>
      <c r="E46" s="432">
        <v>2023</v>
      </c>
      <c r="F46" s="430">
        <v>2024</v>
      </c>
    </row>
    <row r="47" spans="1:8" ht="15.75" x14ac:dyDescent="0.25">
      <c r="B47" s="399" t="s">
        <v>682</v>
      </c>
      <c r="C47" s="402">
        <f>D18/((1+$C$36)^D6)</f>
        <v>2587110.5050484957</v>
      </c>
      <c r="D47" s="402">
        <f t="shared" ref="D47:F47" si="9">E18/((1+$C$36)^E6)</f>
        <v>2484758.3102060589</v>
      </c>
      <c r="E47" s="402">
        <f t="shared" si="9"/>
        <v>2378044.3543267515</v>
      </c>
      <c r="F47" s="403">
        <f t="shared" si="9"/>
        <v>2269608.6788953026</v>
      </c>
      <c r="G47" s="553"/>
    </row>
    <row r="48" spans="1:8" ht="15.75" x14ac:dyDescent="0.25">
      <c r="B48" s="398" t="s">
        <v>681</v>
      </c>
      <c r="C48" s="404">
        <f>RESULTADO!D18*((1-$D$44)^(D6-1))/((1+$C$36)^(D6))</f>
        <v>2621428.4237110913</v>
      </c>
      <c r="D48" s="404">
        <f>RESULTADO!E18*((1-$D$44)^(E6-1))/((1+$C$36)^(E6))</f>
        <v>2494780.7197034527</v>
      </c>
      <c r="E48" s="404">
        <f>RESULTADO!F18*((1-$D$44)^(F6-1))/((1+$C$36)^(F6))</f>
        <v>2365883.1532868887</v>
      </c>
      <c r="F48" s="405">
        <f>RESULTADO!G18*((1-$D$44)^(G6-1))/((1+$C$36)^(G6))</f>
        <v>2237429.5517754909</v>
      </c>
      <c r="G48" s="553"/>
    </row>
    <row r="49" spans="2:7" ht="16.5" thickBot="1" x14ac:dyDescent="0.3">
      <c r="B49" s="393" t="s">
        <v>683</v>
      </c>
      <c r="C49" s="406">
        <f>SUM(C47:F47)-SUM(C48:F48)</f>
        <v>-3.166496753692627E-7</v>
      </c>
      <c r="D49" s="394"/>
      <c r="E49" s="395"/>
      <c r="F49" s="390"/>
    </row>
    <row r="50" spans="2:7" x14ac:dyDescent="0.25">
      <c r="G50" s="295"/>
    </row>
    <row r="51" spans="2:7" x14ac:dyDescent="0.25">
      <c r="C51" s="552"/>
      <c r="D51" s="552"/>
      <c r="E51" s="552"/>
      <c r="F51" s="552"/>
    </row>
    <row r="52" spans="2:7" x14ac:dyDescent="0.25">
      <c r="G52" s="294"/>
    </row>
  </sheetData>
  <mergeCells count="6">
    <mergeCell ref="E2:F2"/>
    <mergeCell ref="B4:B5"/>
    <mergeCell ref="D4:G4"/>
    <mergeCell ref="D38:F38"/>
    <mergeCell ref="B39:C39"/>
    <mergeCell ref="B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403A-2874-40B7-809F-C52F9945C9E3}">
  <sheetPr>
    <tabColor theme="9" tint="0.59999389629810485"/>
  </sheetPr>
  <dimension ref="A2:N66"/>
  <sheetViews>
    <sheetView workbookViewId="0">
      <selection activeCell="E28" sqref="E28"/>
    </sheetView>
  </sheetViews>
  <sheetFormatPr defaultColWidth="8.85546875" defaultRowHeight="12.75" x14ac:dyDescent="0.25"/>
  <cols>
    <col min="1" max="1" width="4.7109375" style="1" customWidth="1"/>
    <col min="2" max="2" width="33.42578125" style="1" bestFit="1" customWidth="1"/>
    <col min="3" max="3" width="9.42578125" style="28" bestFit="1" customWidth="1"/>
    <col min="4" max="4" width="19.140625" style="28" customWidth="1"/>
    <col min="5" max="8" width="11.28515625" style="28" customWidth="1"/>
    <col min="9" max="10" width="8.85546875" style="1"/>
    <col min="11" max="14" width="9.140625" style="1" bestFit="1" customWidth="1"/>
    <col min="15" max="16384" width="8.85546875" style="1"/>
  </cols>
  <sheetData>
    <row r="2" spans="1:14" x14ac:dyDescent="0.25">
      <c r="A2" s="565" t="s">
        <v>452</v>
      </c>
      <c r="B2" s="565"/>
      <c r="C2" s="565"/>
      <c r="D2" s="565"/>
      <c r="E2" s="565"/>
      <c r="F2" s="565"/>
      <c r="G2" s="565"/>
      <c r="H2" s="565"/>
    </row>
    <row r="3" spans="1:14" ht="15" customHeight="1" thickBot="1" x14ac:dyDescent="0.3">
      <c r="A3" s="15"/>
      <c r="B3" s="2"/>
      <c r="C3" s="4"/>
      <c r="D3" s="4"/>
      <c r="E3" s="3"/>
      <c r="F3" s="3"/>
      <c r="G3" s="3"/>
      <c r="H3" s="4"/>
    </row>
    <row r="4" spans="1:14" ht="15" customHeight="1" thickBot="1" x14ac:dyDescent="0.3">
      <c r="A4" s="62"/>
      <c r="B4" s="98" t="s">
        <v>599</v>
      </c>
      <c r="C4" s="63" t="s">
        <v>0</v>
      </c>
      <c r="D4" s="63" t="s">
        <v>1</v>
      </c>
      <c r="E4" s="63">
        <v>2017</v>
      </c>
      <c r="F4" s="63">
        <v>2018</v>
      </c>
      <c r="G4" s="63">
        <v>2019</v>
      </c>
      <c r="H4" s="64">
        <v>2020</v>
      </c>
    </row>
    <row r="5" spans="1:14" ht="15" customHeight="1" x14ac:dyDescent="0.25">
      <c r="A5" s="571" t="s">
        <v>5</v>
      </c>
      <c r="B5" s="65" t="s">
        <v>2</v>
      </c>
      <c r="C5" s="66" t="s">
        <v>3</v>
      </c>
      <c r="D5" s="66" t="s">
        <v>4</v>
      </c>
      <c r="E5" s="67">
        <v>5755575</v>
      </c>
      <c r="F5" s="67">
        <v>5828703</v>
      </c>
      <c r="G5" s="67">
        <v>5904952</v>
      </c>
      <c r="H5" s="82">
        <v>5980918</v>
      </c>
    </row>
    <row r="6" spans="1:14" ht="15" customHeight="1" x14ac:dyDescent="0.25">
      <c r="A6" s="571"/>
      <c r="B6" s="68" t="s">
        <v>6</v>
      </c>
      <c r="C6" s="4" t="s">
        <v>3</v>
      </c>
      <c r="D6" s="4" t="s">
        <v>453</v>
      </c>
      <c r="E6" s="69">
        <v>5578848.7899999982</v>
      </c>
      <c r="F6" s="69">
        <v>5654983.3400000017</v>
      </c>
      <c r="G6" s="69">
        <v>5737641.4699999997</v>
      </c>
      <c r="H6" s="70">
        <v>5828597.2300000004</v>
      </c>
    </row>
    <row r="7" spans="1:14" ht="15" customHeight="1" x14ac:dyDescent="0.25">
      <c r="A7" s="571"/>
      <c r="B7" s="71" t="s">
        <v>7</v>
      </c>
      <c r="C7" s="72" t="s">
        <v>8</v>
      </c>
      <c r="D7" s="72" t="s">
        <v>21</v>
      </c>
      <c r="E7" s="73">
        <f>E6/E5</f>
        <v>0.96929477767208283</v>
      </c>
      <c r="F7" s="73">
        <f>F6/F5</f>
        <v>0.97019582915787639</v>
      </c>
      <c r="G7" s="73">
        <v>0.97166598475313604</v>
      </c>
      <c r="H7" s="74">
        <f>H6/H5</f>
        <v>0.97453220893515013</v>
      </c>
    </row>
    <row r="8" spans="1:14" ht="15" customHeight="1" x14ac:dyDescent="0.25">
      <c r="A8" s="571"/>
      <c r="B8" s="68" t="s">
        <v>9</v>
      </c>
      <c r="C8" s="4" t="s">
        <v>3</v>
      </c>
      <c r="D8" s="4" t="s">
        <v>453</v>
      </c>
      <c r="E8" s="69">
        <v>2092033</v>
      </c>
      <c r="F8" s="69">
        <v>2149018</v>
      </c>
      <c r="G8" s="69">
        <v>2209744</v>
      </c>
      <c r="H8" s="70">
        <v>2270106</v>
      </c>
    </row>
    <row r="9" spans="1:14" ht="15" customHeight="1" x14ac:dyDescent="0.25">
      <c r="A9" s="571"/>
      <c r="B9" s="71" t="s">
        <v>10</v>
      </c>
      <c r="C9" s="72" t="s">
        <v>3</v>
      </c>
      <c r="D9" s="72" t="s">
        <v>453</v>
      </c>
      <c r="E9" s="75">
        <v>2297136</v>
      </c>
      <c r="F9" s="75">
        <v>2352737</v>
      </c>
      <c r="G9" s="75">
        <v>2408819</v>
      </c>
      <c r="H9" s="76">
        <v>2471517</v>
      </c>
    </row>
    <row r="10" spans="1:14" ht="15" customHeight="1" x14ac:dyDescent="0.25">
      <c r="A10" s="571"/>
      <c r="B10" s="68" t="s">
        <v>13</v>
      </c>
      <c r="C10" s="4" t="s">
        <v>12</v>
      </c>
      <c r="D10" s="4" t="s">
        <v>453</v>
      </c>
      <c r="E10" s="69">
        <v>376378.36</v>
      </c>
      <c r="F10" s="69">
        <v>370419.48</v>
      </c>
      <c r="G10" s="69">
        <v>382320.37</v>
      </c>
      <c r="H10" s="70">
        <v>388746.00549999991</v>
      </c>
    </row>
    <row r="11" spans="1:14" ht="15" customHeight="1" x14ac:dyDescent="0.25">
      <c r="A11" s="571"/>
      <c r="B11" s="71" t="s">
        <v>11</v>
      </c>
      <c r="C11" s="72" t="s">
        <v>12</v>
      </c>
      <c r="D11" s="72" t="s">
        <v>453</v>
      </c>
      <c r="E11" s="75">
        <v>263482.01</v>
      </c>
      <c r="F11" s="75">
        <v>261132.74</v>
      </c>
      <c r="G11" s="75">
        <v>290149.69</v>
      </c>
      <c r="H11" s="76">
        <v>281550.77100000001</v>
      </c>
    </row>
    <row r="12" spans="1:14" ht="15" customHeight="1" thickBot="1" x14ac:dyDescent="0.3">
      <c r="A12" s="572"/>
      <c r="B12" s="68" t="s">
        <v>14</v>
      </c>
      <c r="C12" s="4" t="s">
        <v>15</v>
      </c>
      <c r="D12" s="4"/>
      <c r="E12" s="77">
        <v>0.27139999999999997</v>
      </c>
      <c r="F12" s="77">
        <v>0.30609999999999998</v>
      </c>
      <c r="G12" s="77">
        <v>0.29630000000000001</v>
      </c>
      <c r="H12" s="78">
        <v>0.27910000000000001</v>
      </c>
    </row>
    <row r="13" spans="1:14" ht="15" customHeight="1" x14ac:dyDescent="0.25">
      <c r="A13" s="573" t="s">
        <v>16</v>
      </c>
      <c r="B13" s="79" t="s">
        <v>2</v>
      </c>
      <c r="C13" s="80" t="s">
        <v>3</v>
      </c>
      <c r="D13" s="80" t="s">
        <v>4</v>
      </c>
      <c r="E13" s="81">
        <v>5755575</v>
      </c>
      <c r="F13" s="81">
        <v>5828703</v>
      </c>
      <c r="G13" s="81">
        <v>5904952</v>
      </c>
      <c r="H13" s="82">
        <v>5980918</v>
      </c>
    </row>
    <row r="14" spans="1:14" ht="15" customHeight="1" x14ac:dyDescent="0.25">
      <c r="A14" s="571"/>
      <c r="B14" s="68" t="s">
        <v>6</v>
      </c>
      <c r="C14" s="4" t="s">
        <v>3</v>
      </c>
      <c r="D14" s="4" t="s">
        <v>453</v>
      </c>
      <c r="E14" s="69">
        <v>3282075.69</v>
      </c>
      <c r="F14" s="69">
        <v>3488224.8000000012</v>
      </c>
      <c r="G14" s="69">
        <v>3701130.6300000004</v>
      </c>
      <c r="H14" s="70">
        <v>3870527.7899999991</v>
      </c>
    </row>
    <row r="15" spans="1:14" ht="15" customHeight="1" x14ac:dyDescent="0.25">
      <c r="A15" s="571"/>
      <c r="B15" s="71" t="s">
        <v>17</v>
      </c>
      <c r="C15" s="72" t="s">
        <v>8</v>
      </c>
      <c r="D15" s="72" t="s">
        <v>21</v>
      </c>
      <c r="E15" s="73">
        <v>0.5702428845076295</v>
      </c>
      <c r="F15" s="73">
        <v>0.59845643190260356</v>
      </c>
      <c r="G15" s="73">
        <v>0.62678426513881913</v>
      </c>
      <c r="H15" s="74">
        <v>0.64714610533031869</v>
      </c>
      <c r="K15" s="488"/>
      <c r="L15" s="488"/>
      <c r="M15" s="488"/>
      <c r="N15" s="488"/>
    </row>
    <row r="16" spans="1:14" ht="15" customHeight="1" x14ac:dyDescent="0.25">
      <c r="A16" s="571"/>
      <c r="B16" s="68" t="s">
        <v>9</v>
      </c>
      <c r="C16" s="4" t="s">
        <v>3</v>
      </c>
      <c r="D16" s="4" t="s">
        <v>453</v>
      </c>
      <c r="E16" s="69">
        <v>1057007</v>
      </c>
      <c r="F16" s="69">
        <v>1124996</v>
      </c>
      <c r="G16" s="69">
        <v>1201067</v>
      </c>
      <c r="H16" s="70">
        <v>1261018</v>
      </c>
    </row>
    <row r="17" spans="1:9" ht="15" customHeight="1" x14ac:dyDescent="0.25">
      <c r="A17" s="571"/>
      <c r="B17" s="71" t="s">
        <v>18</v>
      </c>
      <c r="C17" s="72" t="s">
        <v>3</v>
      </c>
      <c r="D17" s="72" t="s">
        <v>453</v>
      </c>
      <c r="E17" s="75">
        <v>1219773</v>
      </c>
      <c r="F17" s="75">
        <v>1291325</v>
      </c>
      <c r="G17" s="75">
        <v>1365237</v>
      </c>
      <c r="H17" s="76">
        <v>1428560</v>
      </c>
    </row>
    <row r="18" spans="1:9" ht="15" customHeight="1" x14ac:dyDescent="0.25">
      <c r="A18" s="571"/>
      <c r="B18" s="84" t="s">
        <v>19</v>
      </c>
      <c r="C18" s="28" t="s">
        <v>3</v>
      </c>
      <c r="D18" s="4" t="s">
        <v>453</v>
      </c>
      <c r="E18" s="23">
        <v>38086</v>
      </c>
      <c r="F18" s="23">
        <v>49902</v>
      </c>
      <c r="G18" s="23">
        <v>51271</v>
      </c>
      <c r="H18" s="83">
        <v>50931</v>
      </c>
    </row>
    <row r="19" spans="1:9" ht="15" customHeight="1" x14ac:dyDescent="0.25">
      <c r="A19" s="571"/>
      <c r="B19" s="71" t="s">
        <v>20</v>
      </c>
      <c r="C19" s="72" t="s">
        <v>8</v>
      </c>
      <c r="D19" s="72" t="s">
        <v>21</v>
      </c>
      <c r="E19" s="73">
        <f t="shared" ref="E19:H19" si="0">E18/E17</f>
        <v>3.1223842469049568E-2</v>
      </c>
      <c r="F19" s="73">
        <f t="shared" si="0"/>
        <v>3.8644028420420883E-2</v>
      </c>
      <c r="G19" s="73">
        <f t="shared" si="0"/>
        <v>3.7554651683187605E-2</v>
      </c>
      <c r="H19" s="74">
        <f t="shared" si="0"/>
        <v>3.5651985215881726E-2</v>
      </c>
    </row>
    <row r="20" spans="1:9" ht="15" customHeight="1" x14ac:dyDescent="0.25">
      <c r="A20" s="571"/>
      <c r="B20" s="68" t="s">
        <v>22</v>
      </c>
      <c r="C20" s="4" t="s">
        <v>12</v>
      </c>
      <c r="D20" s="4" t="s">
        <v>453</v>
      </c>
      <c r="E20" s="69">
        <v>148664.07</v>
      </c>
      <c r="F20" s="69">
        <v>151592.17000000001</v>
      </c>
      <c r="G20" s="69">
        <v>161782.603</v>
      </c>
      <c r="H20" s="70">
        <v>172183.12599999999</v>
      </c>
    </row>
    <row r="21" spans="1:9" ht="15" customHeight="1" x14ac:dyDescent="0.25">
      <c r="A21" s="571"/>
      <c r="B21" s="71" t="s">
        <v>23</v>
      </c>
      <c r="C21" s="72" t="s">
        <v>12</v>
      </c>
      <c r="D21" s="72" t="s">
        <v>453</v>
      </c>
      <c r="E21" s="75">
        <v>134965.44</v>
      </c>
      <c r="F21" s="75">
        <v>140737.85</v>
      </c>
      <c r="G21" s="75">
        <v>150145.4</v>
      </c>
      <c r="H21" s="76">
        <v>159726.89600000001</v>
      </c>
    </row>
    <row r="22" spans="1:9" ht="15" customHeight="1" thickBot="1" x14ac:dyDescent="0.3">
      <c r="A22" s="572"/>
      <c r="B22" s="85" t="s">
        <v>24</v>
      </c>
      <c r="C22" s="86" t="s">
        <v>8</v>
      </c>
      <c r="D22" s="86" t="s">
        <v>21</v>
      </c>
      <c r="E22" s="87">
        <f>E21/E20</f>
        <v>0.90785513944290641</v>
      </c>
      <c r="F22" s="87">
        <f>F21/F20</f>
        <v>0.92839788493033637</v>
      </c>
      <c r="G22" s="87">
        <v>0.92525036369563829</v>
      </c>
      <c r="H22" s="88">
        <f>H21/H20</f>
        <v>0.92765708063634533</v>
      </c>
    </row>
    <row r="23" spans="1:9" ht="15" customHeight="1" thickBot="1" x14ac:dyDescent="0.3">
      <c r="A23" s="483"/>
      <c r="B23" s="484" t="s">
        <v>483</v>
      </c>
      <c r="C23" s="485"/>
      <c r="D23" s="485"/>
      <c r="E23" s="486">
        <f>E9+E18</f>
        <v>2335222</v>
      </c>
      <c r="F23" s="486">
        <f t="shared" ref="F23:H23" si="1">F9+F18</f>
        <v>2402639</v>
      </c>
      <c r="G23" s="486">
        <f t="shared" si="1"/>
        <v>2460090</v>
      </c>
      <c r="H23" s="487">
        <f t="shared" si="1"/>
        <v>2522448</v>
      </c>
    </row>
    <row r="24" spans="1:9" ht="15" customHeight="1" x14ac:dyDescent="0.25">
      <c r="A24" s="2" t="s">
        <v>25</v>
      </c>
      <c r="B24" s="2"/>
      <c r="C24" s="2"/>
      <c r="D24" s="2"/>
      <c r="E24" s="4"/>
      <c r="F24" s="4"/>
      <c r="G24" s="4"/>
      <c r="H24" s="4"/>
    </row>
    <row r="25" spans="1:9" s="15" customFormat="1" ht="15" customHeight="1" x14ac:dyDescent="0.25">
      <c r="A25" s="2" t="s">
        <v>26</v>
      </c>
      <c r="B25" s="2"/>
      <c r="C25" s="2"/>
      <c r="D25" s="2"/>
      <c r="E25" s="14"/>
      <c r="F25" s="14"/>
      <c r="G25" s="14"/>
      <c r="H25" s="14"/>
      <c r="I25" s="1"/>
    </row>
    <row r="26" spans="1:9" s="15" customFormat="1" ht="15" customHeight="1" x14ac:dyDescent="0.25">
      <c r="A26" s="2"/>
      <c r="B26" s="2"/>
      <c r="C26" s="2"/>
      <c r="D26" s="2"/>
      <c r="E26" s="4"/>
      <c r="F26" s="4"/>
      <c r="G26" s="4"/>
      <c r="H26" s="16"/>
    </row>
    <row r="27" spans="1:9" s="15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15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15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15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15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15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 x14ac:dyDescent="0.25">
      <c r="A35" s="2"/>
      <c r="B35" s="2"/>
      <c r="C35" s="2"/>
      <c r="D35" s="2"/>
      <c r="E35" s="3"/>
      <c r="F35" s="3"/>
      <c r="G35" s="3"/>
      <c r="H35" s="3"/>
    </row>
    <row r="36" spans="1:8" s="15" customFormat="1" ht="15" customHeight="1" x14ac:dyDescent="0.25">
      <c r="A36" s="2"/>
      <c r="B36" s="2"/>
      <c r="C36" s="2"/>
      <c r="D36" s="2"/>
      <c r="E36" s="3"/>
      <c r="F36" s="3"/>
      <c r="G36" s="3"/>
      <c r="H36" s="3"/>
    </row>
    <row r="37" spans="1:8" s="15" customFormat="1" ht="15" customHeight="1" x14ac:dyDescent="0.25">
      <c r="A37" s="2"/>
      <c r="B37" s="2"/>
      <c r="C37" s="2"/>
      <c r="D37" s="2"/>
      <c r="E37" s="17"/>
      <c r="F37" s="17"/>
      <c r="G37" s="17"/>
      <c r="H37" s="17"/>
    </row>
    <row r="38" spans="1:8" s="15" customFormat="1" ht="15" customHeight="1" x14ac:dyDescent="0.25">
      <c r="A38" s="2"/>
      <c r="B38" s="2"/>
      <c r="C38" s="2"/>
      <c r="D38" s="2"/>
      <c r="E38" s="17"/>
      <c r="F38" s="17"/>
      <c r="G38" s="17"/>
      <c r="H38" s="17"/>
    </row>
    <row r="39" spans="1:8" ht="15" customHeight="1" x14ac:dyDescent="0.25">
      <c r="A39" s="574"/>
      <c r="B39" s="574"/>
      <c r="C39" s="574"/>
      <c r="D39" s="574"/>
      <c r="E39" s="574"/>
      <c r="F39" s="574"/>
      <c r="G39" s="427"/>
      <c r="H39" s="19"/>
    </row>
    <row r="40" spans="1:8" ht="15" customHeight="1" x14ac:dyDescent="0.25">
      <c r="A40" s="21"/>
      <c r="B40" s="21"/>
      <c r="C40" s="21"/>
      <c r="D40" s="21"/>
      <c r="E40" s="23"/>
      <c r="F40" s="23"/>
      <c r="G40" s="23"/>
      <c r="H40" s="24"/>
    </row>
    <row r="41" spans="1:8" ht="15" customHeight="1" x14ac:dyDescent="0.25">
      <c r="A41" s="89"/>
      <c r="B41" s="427"/>
      <c r="C41" s="90"/>
      <c r="D41" s="90"/>
      <c r="E41" s="427"/>
      <c r="F41" s="427"/>
      <c r="G41" s="427"/>
      <c r="H41" s="24"/>
    </row>
    <row r="42" spans="1:8" ht="15" customHeight="1" x14ac:dyDescent="0.25">
      <c r="A42" s="91"/>
      <c r="B42" s="26"/>
      <c r="C42" s="1"/>
      <c r="D42" s="1"/>
      <c r="E42" s="27"/>
      <c r="F42" s="27"/>
      <c r="G42" s="27"/>
      <c r="H42" s="24"/>
    </row>
    <row r="43" spans="1:8" ht="15" customHeight="1" x14ac:dyDescent="0.25">
      <c r="A43" s="91"/>
      <c r="B43" s="26"/>
      <c r="C43" s="1"/>
      <c r="D43" s="1"/>
      <c r="E43" s="27"/>
      <c r="F43" s="27"/>
      <c r="G43" s="27"/>
    </row>
    <row r="44" spans="1:8" ht="15" customHeight="1" x14ac:dyDescent="0.25">
      <c r="A44" s="92"/>
      <c r="C44" s="1"/>
      <c r="D44" s="1"/>
      <c r="E44" s="19"/>
      <c r="F44" s="19"/>
      <c r="G44" s="19"/>
    </row>
    <row r="45" spans="1:8" ht="15" customHeight="1" x14ac:dyDescent="0.25">
      <c r="A45" s="93"/>
      <c r="C45" s="1"/>
      <c r="D45" s="1"/>
      <c r="E45" s="19"/>
      <c r="F45" s="19"/>
      <c r="G45" s="19"/>
      <c r="H45" s="427"/>
    </row>
    <row r="46" spans="1:8" ht="15" customHeight="1" x14ac:dyDescent="0.25">
      <c r="C46" s="1"/>
      <c r="D46" s="1"/>
      <c r="H46" s="30"/>
    </row>
    <row r="47" spans="1:8" ht="15" customHeight="1" x14ac:dyDescent="0.25">
      <c r="A47" s="93"/>
      <c r="C47" s="1"/>
      <c r="D47" s="1"/>
      <c r="E47" s="19"/>
      <c r="F47" s="19"/>
      <c r="G47" s="19"/>
      <c r="H47" s="30"/>
    </row>
    <row r="48" spans="1:8" ht="15" customHeight="1" x14ac:dyDescent="0.25">
      <c r="A48" s="89"/>
      <c r="B48" s="427"/>
      <c r="C48" s="90"/>
      <c r="D48" s="90"/>
      <c r="E48" s="32"/>
      <c r="F48" s="32"/>
      <c r="G48" s="32"/>
      <c r="H48" s="33"/>
    </row>
    <row r="49" spans="1:8" ht="15" customHeight="1" x14ac:dyDescent="0.25">
      <c r="A49" s="94"/>
      <c r="C49" s="1"/>
      <c r="D49" s="1"/>
      <c r="E49" s="19"/>
      <c r="F49" s="19"/>
      <c r="G49" s="19"/>
      <c r="H49" s="35"/>
    </row>
    <row r="50" spans="1:8" ht="15" customHeight="1" x14ac:dyDescent="0.25">
      <c r="A50" s="94"/>
      <c r="C50" s="1"/>
      <c r="D50" s="1"/>
      <c r="E50" s="19"/>
      <c r="F50" s="19"/>
      <c r="G50" s="19"/>
      <c r="H50" s="37"/>
    </row>
    <row r="51" spans="1:8" ht="15" customHeight="1" x14ac:dyDescent="0.25">
      <c r="A51" s="93"/>
      <c r="B51" s="39"/>
      <c r="C51" s="95"/>
      <c r="D51" s="95"/>
      <c r="E51" s="40"/>
      <c r="F51" s="40"/>
      <c r="G51" s="40"/>
      <c r="H51" s="427"/>
    </row>
    <row r="52" spans="1:8" ht="15" customHeight="1" thickBot="1" x14ac:dyDescent="0.3">
      <c r="A52" s="96"/>
      <c r="B52" s="427"/>
      <c r="C52" s="90"/>
      <c r="D52" s="90"/>
      <c r="E52" s="32"/>
      <c r="F52" s="32"/>
      <c r="G52" s="32"/>
      <c r="H52" s="427"/>
    </row>
    <row r="53" spans="1:8" ht="15" customHeight="1" x14ac:dyDescent="0.25">
      <c r="A53" s="21"/>
      <c r="C53" s="1"/>
      <c r="D53" s="1"/>
      <c r="E53" s="23"/>
      <c r="F53" s="427"/>
      <c r="G53" s="427"/>
      <c r="H53" s="41"/>
    </row>
    <row r="54" spans="1:8" ht="15" customHeight="1" x14ac:dyDescent="0.25">
      <c r="A54" s="42"/>
      <c r="B54" s="42"/>
      <c r="C54" s="42"/>
      <c r="D54" s="42"/>
      <c r="E54" s="43"/>
      <c r="F54" s="43"/>
      <c r="G54" s="43"/>
      <c r="H54" s="41"/>
    </row>
    <row r="55" spans="1:8" ht="15" customHeight="1" x14ac:dyDescent="0.25">
      <c r="A55" s="42"/>
      <c r="B55" s="42"/>
      <c r="C55" s="42"/>
      <c r="D55" s="42"/>
      <c r="E55" s="43"/>
      <c r="F55" s="43"/>
      <c r="G55" s="43"/>
      <c r="H55" s="44"/>
    </row>
    <row r="56" spans="1:8" ht="15" customHeight="1" x14ac:dyDescent="0.25">
      <c r="A56" s="97"/>
      <c r="B56" s="45"/>
      <c r="C56" s="45"/>
      <c r="D56" s="45"/>
      <c r="E56" s="46"/>
      <c r="F56" s="46"/>
      <c r="G56" s="46"/>
      <c r="H56" s="47"/>
    </row>
    <row r="57" spans="1:8" ht="15" customHeight="1" x14ac:dyDescent="0.25">
      <c r="A57" s="42"/>
      <c r="B57" s="45"/>
      <c r="C57" s="42"/>
      <c r="D57" s="42"/>
      <c r="E57" s="46"/>
      <c r="F57" s="46"/>
      <c r="G57" s="46"/>
      <c r="H57" s="43"/>
    </row>
    <row r="58" spans="1:8" ht="15" customHeight="1" x14ac:dyDescent="0.25">
      <c r="A58" s="49"/>
      <c r="B58" s="45"/>
      <c r="C58" s="42"/>
      <c r="D58" s="42"/>
      <c r="E58" s="46"/>
      <c r="F58" s="46"/>
      <c r="G58" s="46"/>
      <c r="H58" s="48"/>
    </row>
    <row r="59" spans="1:8" ht="15" customHeight="1" x14ac:dyDescent="0.25">
      <c r="A59" s="51"/>
      <c r="B59" s="49"/>
      <c r="C59" s="49"/>
      <c r="D59" s="49"/>
      <c r="E59" s="48"/>
      <c r="F59" s="48"/>
      <c r="G59" s="48"/>
      <c r="H59" s="50"/>
    </row>
    <row r="60" spans="1:8" ht="15" customHeight="1" x14ac:dyDescent="0.25">
      <c r="A60" s="52"/>
      <c r="B60" s="51"/>
      <c r="C60" s="51"/>
      <c r="D60" s="51"/>
      <c r="E60" s="50"/>
      <c r="F60" s="50"/>
      <c r="G60" s="50"/>
    </row>
    <row r="61" spans="1:8" ht="15" customHeight="1" x14ac:dyDescent="0.25">
      <c r="A61" s="52"/>
      <c r="B61" s="52"/>
      <c r="C61" s="54"/>
      <c r="D61" s="54"/>
      <c r="E61" s="53"/>
      <c r="F61" s="54"/>
      <c r="G61" s="54"/>
    </row>
    <row r="62" spans="1:8" ht="15" customHeight="1" x14ac:dyDescent="0.25">
      <c r="A62" s="52"/>
      <c r="B62" s="52"/>
      <c r="C62" s="54"/>
      <c r="D62" s="54"/>
      <c r="E62" s="53"/>
      <c r="F62" s="53"/>
      <c r="G62" s="53"/>
    </row>
    <row r="63" spans="1:8" ht="15" customHeight="1" x14ac:dyDescent="0.25">
      <c r="A63" s="55"/>
      <c r="B63" s="52"/>
      <c r="C63" s="54"/>
      <c r="D63" s="54"/>
      <c r="E63" s="53"/>
      <c r="F63" s="53"/>
      <c r="G63" s="53"/>
    </row>
    <row r="64" spans="1:8" ht="15" customHeight="1" x14ac:dyDescent="0.25">
      <c r="A64" s="55"/>
      <c r="B64" s="55"/>
      <c r="C64" s="56"/>
      <c r="D64" s="56"/>
      <c r="E64" s="54"/>
      <c r="F64" s="54"/>
      <c r="G64" s="54"/>
    </row>
    <row r="65" spans="1:7" ht="15" customHeight="1" x14ac:dyDescent="0.25">
      <c r="A65" s="55"/>
      <c r="B65" s="55"/>
      <c r="C65" s="56"/>
      <c r="D65" s="56"/>
      <c r="E65" s="56"/>
      <c r="F65" s="54"/>
      <c r="G65" s="54"/>
    </row>
    <row r="66" spans="1:7" ht="15" customHeight="1" x14ac:dyDescent="0.25">
      <c r="B66" s="55"/>
      <c r="C66" s="55"/>
      <c r="D66" s="55"/>
      <c r="E66" s="54"/>
      <c r="F66" s="54"/>
      <c r="G66" s="54"/>
    </row>
  </sheetData>
  <mergeCells count="4">
    <mergeCell ref="A2:H2"/>
    <mergeCell ref="A5:A12"/>
    <mergeCell ref="A13:A22"/>
    <mergeCell ref="A39:F3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EC13-0008-4ED3-9FED-26A68C9389F7}">
  <sheetPr codeName="Planilha11">
    <tabColor theme="9" tint="0.59999389629810485"/>
  </sheetPr>
  <dimension ref="A2:G54"/>
  <sheetViews>
    <sheetView workbookViewId="0">
      <selection activeCell="A4" sqref="A4"/>
    </sheetView>
  </sheetViews>
  <sheetFormatPr defaultColWidth="8.85546875" defaultRowHeight="12.75" x14ac:dyDescent="0.25"/>
  <cols>
    <col min="1" max="1" width="15.7109375" style="1" bestFit="1" customWidth="1"/>
    <col min="2" max="2" width="9.5703125" style="28" hidden="1" customWidth="1"/>
    <col min="3" max="6" width="9.7109375" style="28" customWidth="1"/>
    <col min="7" max="7" width="9.7109375" style="1" customWidth="1"/>
    <col min="8" max="16384" width="8.85546875" style="1"/>
  </cols>
  <sheetData>
    <row r="2" spans="1:7" ht="20.100000000000001" customHeight="1" x14ac:dyDescent="0.25">
      <c r="A2" s="565" t="s">
        <v>28</v>
      </c>
      <c r="B2" s="565"/>
      <c r="C2" s="565"/>
      <c r="D2" s="565"/>
      <c r="E2" s="565"/>
      <c r="F2" s="565"/>
      <c r="G2" s="565"/>
    </row>
    <row r="3" spans="1:7" ht="20.100000000000001" customHeight="1" thickBot="1" x14ac:dyDescent="0.3">
      <c r="A3" s="2"/>
      <c r="B3" s="3"/>
      <c r="C3" s="3"/>
      <c r="D3" s="3"/>
      <c r="E3" s="3"/>
      <c r="F3" s="4"/>
    </row>
    <row r="4" spans="1:7" ht="20.100000000000001" customHeight="1" x14ac:dyDescent="0.25">
      <c r="A4" s="5" t="s">
        <v>29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7">
        <v>2020</v>
      </c>
    </row>
    <row r="5" spans="1:7" ht="20.100000000000001" customHeight="1" x14ac:dyDescent="0.25">
      <c r="A5" s="8" t="s">
        <v>30</v>
      </c>
      <c r="B5" s="9">
        <v>4186</v>
      </c>
      <c r="C5" s="9">
        <v>4586</v>
      </c>
      <c r="D5" s="9">
        <v>4603</v>
      </c>
      <c r="E5" s="9">
        <v>5047</v>
      </c>
      <c r="F5" s="9">
        <v>5094</v>
      </c>
      <c r="G5" s="10">
        <v>5067</v>
      </c>
    </row>
    <row r="6" spans="1:7" ht="20.100000000000001" customHeight="1" x14ac:dyDescent="0.25">
      <c r="A6" s="8" t="s">
        <v>31</v>
      </c>
      <c r="B6" s="9">
        <v>948</v>
      </c>
      <c r="C6" s="9">
        <v>934</v>
      </c>
      <c r="D6" s="9">
        <v>774</v>
      </c>
      <c r="E6" s="9">
        <v>791</v>
      </c>
      <c r="F6" s="9">
        <v>750</v>
      </c>
      <c r="G6" s="10">
        <v>749</v>
      </c>
    </row>
    <row r="7" spans="1:7" ht="20.100000000000001" customHeight="1" thickBot="1" x14ac:dyDescent="0.3">
      <c r="A7" s="11" t="s">
        <v>32</v>
      </c>
      <c r="B7" s="12">
        <f>SUM(B5:B6)</f>
        <v>5134</v>
      </c>
      <c r="C7" s="12">
        <f t="shared" ref="C7:G7" si="0">SUM(C5:C6)</f>
        <v>5520</v>
      </c>
      <c r="D7" s="12">
        <f t="shared" si="0"/>
        <v>5377</v>
      </c>
      <c r="E7" s="12">
        <f t="shared" si="0"/>
        <v>5838</v>
      </c>
      <c r="F7" s="12">
        <f t="shared" si="0"/>
        <v>5844</v>
      </c>
      <c r="G7" s="13">
        <f t="shared" si="0"/>
        <v>5816</v>
      </c>
    </row>
    <row r="8" spans="1:7" ht="20.100000000000001" customHeight="1" x14ac:dyDescent="0.25">
      <c r="A8" s="2" t="s">
        <v>27</v>
      </c>
      <c r="B8" s="3"/>
      <c r="C8" s="4"/>
      <c r="D8" s="4"/>
      <c r="E8" s="4"/>
      <c r="F8" s="4"/>
    </row>
    <row r="9" spans="1:7" s="15" customFormat="1" ht="20.100000000000001" customHeight="1" x14ac:dyDescent="0.25">
      <c r="A9" s="2" t="s">
        <v>33</v>
      </c>
      <c r="B9" s="14"/>
      <c r="C9" s="14"/>
      <c r="D9" s="14"/>
      <c r="E9" s="14"/>
      <c r="F9" s="14"/>
    </row>
    <row r="10" spans="1:7" s="15" customFormat="1" ht="20.100000000000001" customHeight="1" x14ac:dyDescent="0.25">
      <c r="A10" s="2"/>
      <c r="B10" s="3"/>
      <c r="C10" s="4"/>
      <c r="D10" s="4"/>
      <c r="E10" s="4"/>
      <c r="F10" s="16"/>
    </row>
    <row r="11" spans="1:7" s="15" customFormat="1" ht="20.100000000000001" customHeight="1" x14ac:dyDescent="0.25">
      <c r="A11" s="2"/>
      <c r="B11" s="3"/>
      <c r="C11" s="3"/>
      <c r="D11" s="3"/>
      <c r="E11" s="3"/>
      <c r="F11" s="3"/>
      <c r="G11" s="2"/>
    </row>
    <row r="12" spans="1:7" s="15" customFormat="1" ht="20.100000000000001" customHeight="1" x14ac:dyDescent="0.25">
      <c r="A12" s="2"/>
      <c r="B12" s="3"/>
      <c r="C12" s="3"/>
      <c r="D12" s="3"/>
      <c r="E12" s="3"/>
      <c r="F12" s="3"/>
      <c r="G12" s="2"/>
    </row>
    <row r="13" spans="1:7" s="15" customFormat="1" ht="20.100000000000001" customHeight="1" x14ac:dyDescent="0.25">
      <c r="A13" s="2"/>
      <c r="B13" s="3"/>
      <c r="C13" s="3"/>
      <c r="D13" s="3"/>
      <c r="E13" s="3"/>
      <c r="F13" s="3"/>
      <c r="G13" s="2"/>
    </row>
    <row r="14" spans="1:7" s="15" customFormat="1" ht="20.100000000000001" customHeight="1" x14ac:dyDescent="0.25">
      <c r="A14" s="2"/>
      <c r="B14" s="3"/>
      <c r="C14" s="3"/>
      <c r="D14" s="3"/>
      <c r="E14" s="3"/>
      <c r="F14" s="3"/>
      <c r="G14" s="2"/>
    </row>
    <row r="15" spans="1:7" s="15" customFormat="1" ht="20.100000000000001" customHeight="1" x14ac:dyDescent="0.25">
      <c r="A15" s="2"/>
      <c r="B15" s="3"/>
      <c r="C15" s="3"/>
      <c r="D15" s="3"/>
      <c r="E15" s="3"/>
      <c r="F15" s="3"/>
      <c r="G15" s="2"/>
    </row>
    <row r="16" spans="1:7" s="15" customFormat="1" ht="20.100000000000001" customHeight="1" x14ac:dyDescent="0.25">
      <c r="A16" s="2"/>
      <c r="B16" s="3"/>
      <c r="C16" s="3"/>
      <c r="D16" s="3"/>
      <c r="E16" s="3"/>
      <c r="F16" s="3"/>
      <c r="G16" s="2"/>
    </row>
    <row r="17" spans="1:7" s="15" customFormat="1" ht="20.100000000000001" customHeight="1" x14ac:dyDescent="0.25">
      <c r="A17" s="2"/>
      <c r="B17" s="3"/>
      <c r="C17" s="3"/>
      <c r="D17" s="3"/>
      <c r="E17" s="3"/>
      <c r="F17" s="3"/>
      <c r="G17" s="2"/>
    </row>
    <row r="18" spans="1:7" s="15" customFormat="1" ht="20.100000000000001" customHeight="1" x14ac:dyDescent="0.25">
      <c r="A18" s="2"/>
      <c r="B18" s="3"/>
      <c r="C18" s="3"/>
      <c r="D18" s="3"/>
      <c r="E18" s="3"/>
      <c r="F18" s="3"/>
      <c r="G18" s="2"/>
    </row>
    <row r="19" spans="1:7" s="15" customFormat="1" ht="20.100000000000001" customHeight="1" x14ac:dyDescent="0.25">
      <c r="A19" s="2"/>
      <c r="B19" s="3"/>
      <c r="C19" s="3"/>
      <c r="D19" s="3"/>
      <c r="E19" s="3"/>
      <c r="F19" s="3"/>
      <c r="G19" s="2"/>
    </row>
    <row r="20" spans="1:7" s="15" customFormat="1" ht="20.100000000000001" customHeight="1" x14ac:dyDescent="0.25">
      <c r="A20" s="2"/>
      <c r="B20" s="3"/>
      <c r="C20" s="3"/>
      <c r="D20" s="3"/>
      <c r="E20" s="3"/>
      <c r="F20" s="3"/>
      <c r="G20" s="2"/>
    </row>
    <row r="21" spans="1:7" s="15" customFormat="1" ht="20.100000000000001" customHeight="1" x14ac:dyDescent="0.25">
      <c r="A21" s="2"/>
      <c r="B21" s="17"/>
      <c r="C21" s="17"/>
      <c r="D21" s="17"/>
      <c r="E21" s="17"/>
      <c r="F21" s="17"/>
      <c r="G21" s="18"/>
    </row>
    <row r="22" spans="1:7" s="15" customFormat="1" ht="20.100000000000001" customHeight="1" x14ac:dyDescent="0.25">
      <c r="A22" s="2"/>
      <c r="B22" s="17"/>
      <c r="C22" s="17"/>
      <c r="D22" s="17"/>
      <c r="E22" s="17"/>
      <c r="F22" s="17"/>
      <c r="G22" s="18"/>
    </row>
    <row r="23" spans="1:7" ht="20.100000000000001" customHeight="1" x14ac:dyDescent="0.25">
      <c r="A23" s="574"/>
      <c r="B23" s="574"/>
      <c r="C23" s="574"/>
      <c r="D23" s="574"/>
      <c r="E23" s="574"/>
      <c r="F23" s="19"/>
      <c r="G23" s="20"/>
    </row>
    <row r="24" spans="1:7" ht="20.100000000000001" customHeight="1" x14ac:dyDescent="0.25">
      <c r="A24" s="21"/>
      <c r="B24" s="22"/>
      <c r="C24" s="23"/>
      <c r="D24" s="23"/>
      <c r="E24" s="23"/>
      <c r="F24" s="24"/>
    </row>
    <row r="25" spans="1:7" ht="20.100000000000001" customHeight="1" x14ac:dyDescent="0.25">
      <c r="A25" s="25"/>
      <c r="B25" s="25"/>
      <c r="C25" s="25"/>
      <c r="D25" s="25"/>
      <c r="E25" s="25"/>
      <c r="F25" s="24"/>
      <c r="G25" s="24"/>
    </row>
    <row r="26" spans="1:7" ht="20.100000000000001" customHeight="1" x14ac:dyDescent="0.25">
      <c r="A26" s="26"/>
      <c r="B26" s="27"/>
      <c r="C26" s="27"/>
      <c r="D26" s="27"/>
      <c r="E26" s="27"/>
      <c r="F26" s="24"/>
      <c r="G26" s="24"/>
    </row>
    <row r="27" spans="1:7" ht="20.100000000000001" customHeight="1" x14ac:dyDescent="0.25">
      <c r="A27" s="26"/>
      <c r="B27" s="27"/>
      <c r="C27" s="27"/>
      <c r="D27" s="27"/>
      <c r="E27" s="27"/>
    </row>
    <row r="28" spans="1:7" ht="20.100000000000001" customHeight="1" x14ac:dyDescent="0.25">
      <c r="B28" s="19"/>
      <c r="C28" s="19"/>
      <c r="D28" s="19"/>
      <c r="E28" s="19"/>
    </row>
    <row r="29" spans="1:7" ht="20.100000000000001" customHeight="1" x14ac:dyDescent="0.25">
      <c r="B29" s="19"/>
      <c r="C29" s="19"/>
      <c r="D29" s="19"/>
      <c r="E29" s="19"/>
      <c r="F29" s="25"/>
      <c r="G29" s="29"/>
    </row>
    <row r="30" spans="1:7" ht="20.100000000000001" customHeight="1" x14ac:dyDescent="0.25">
      <c r="F30" s="30"/>
      <c r="G30" s="31"/>
    </row>
    <row r="31" spans="1:7" ht="20.100000000000001" customHeight="1" x14ac:dyDescent="0.25">
      <c r="B31" s="19"/>
      <c r="C31" s="19"/>
      <c r="D31" s="19"/>
      <c r="E31" s="19"/>
      <c r="F31" s="30"/>
      <c r="G31" s="31"/>
    </row>
    <row r="32" spans="1:7" ht="20.100000000000001" customHeight="1" x14ac:dyDescent="0.25">
      <c r="A32" s="25"/>
      <c r="B32" s="32"/>
      <c r="C32" s="32"/>
      <c r="D32" s="32"/>
      <c r="E32" s="32"/>
      <c r="F32" s="33"/>
      <c r="G32" s="34"/>
    </row>
    <row r="33" spans="1:7" ht="20.100000000000001" customHeight="1" x14ac:dyDescent="0.25">
      <c r="B33" s="19"/>
      <c r="C33" s="19"/>
      <c r="D33" s="19"/>
      <c r="E33" s="19"/>
      <c r="F33" s="35"/>
      <c r="G33" s="36"/>
    </row>
    <row r="34" spans="1:7" ht="20.100000000000001" customHeight="1" x14ac:dyDescent="0.25">
      <c r="B34" s="19"/>
      <c r="C34" s="19"/>
      <c r="D34" s="19"/>
      <c r="E34" s="19"/>
      <c r="F34" s="37"/>
      <c r="G34" s="38"/>
    </row>
    <row r="35" spans="1:7" ht="20.100000000000001" customHeight="1" x14ac:dyDescent="0.25">
      <c r="A35" s="39"/>
      <c r="B35" s="40"/>
      <c r="C35" s="40"/>
      <c r="D35" s="40"/>
      <c r="E35" s="40"/>
      <c r="F35" s="25"/>
      <c r="G35" s="29"/>
    </row>
    <row r="36" spans="1:7" ht="20.100000000000001" customHeight="1" x14ac:dyDescent="0.25">
      <c r="A36" s="25"/>
      <c r="B36" s="32"/>
      <c r="C36" s="32"/>
      <c r="D36" s="32"/>
      <c r="E36" s="32"/>
      <c r="F36" s="25"/>
      <c r="G36" s="29"/>
    </row>
    <row r="37" spans="1:7" ht="20.100000000000001" customHeight="1" x14ac:dyDescent="0.25">
      <c r="B37" s="23"/>
      <c r="C37" s="23"/>
      <c r="D37" s="23"/>
      <c r="E37" s="25"/>
      <c r="F37" s="41"/>
    </row>
    <row r="38" spans="1:7" ht="20.100000000000001" customHeight="1" x14ac:dyDescent="0.25">
      <c r="A38" s="42"/>
      <c r="B38" s="43"/>
      <c r="C38" s="43"/>
      <c r="D38" s="43"/>
      <c r="E38" s="43"/>
      <c r="F38" s="41"/>
    </row>
    <row r="39" spans="1:7" ht="20.100000000000001" customHeight="1" x14ac:dyDescent="0.25">
      <c r="A39" s="42"/>
      <c r="B39" s="43"/>
      <c r="C39" s="43"/>
      <c r="D39" s="43"/>
      <c r="E39" s="43"/>
      <c r="F39" s="44"/>
    </row>
    <row r="40" spans="1:7" ht="20.100000000000001" customHeight="1" x14ac:dyDescent="0.25">
      <c r="A40" s="45"/>
      <c r="B40" s="46"/>
      <c r="C40" s="46"/>
      <c r="D40" s="46"/>
      <c r="E40" s="46"/>
      <c r="F40" s="47"/>
    </row>
    <row r="41" spans="1:7" ht="20.100000000000001" customHeight="1" x14ac:dyDescent="0.25">
      <c r="A41" s="45"/>
      <c r="B41" s="46"/>
      <c r="C41" s="46"/>
      <c r="D41" s="46"/>
      <c r="E41" s="46"/>
      <c r="F41" s="43"/>
    </row>
    <row r="42" spans="1:7" ht="20.100000000000001" customHeight="1" x14ac:dyDescent="0.25">
      <c r="A42" s="45"/>
      <c r="B42" s="46"/>
      <c r="C42" s="46"/>
      <c r="D42" s="46"/>
      <c r="E42" s="46"/>
      <c r="F42" s="48"/>
    </row>
    <row r="43" spans="1:7" ht="20.100000000000001" customHeight="1" x14ac:dyDescent="0.25">
      <c r="A43" s="49"/>
      <c r="B43" s="48"/>
      <c r="C43" s="48"/>
      <c r="D43" s="48"/>
      <c r="E43" s="48"/>
      <c r="F43" s="50"/>
    </row>
    <row r="44" spans="1:7" ht="20.100000000000001" customHeight="1" x14ac:dyDescent="0.25">
      <c r="A44" s="51"/>
      <c r="B44" s="50"/>
      <c r="C44" s="50"/>
      <c r="D44" s="50"/>
      <c r="E44" s="50"/>
    </row>
    <row r="45" spans="1:7" ht="20.100000000000001" customHeight="1" x14ac:dyDescent="0.25">
      <c r="A45" s="52"/>
      <c r="B45" s="53"/>
      <c r="C45" s="53"/>
      <c r="D45" s="53"/>
      <c r="E45" s="54"/>
    </row>
    <row r="46" spans="1:7" ht="20.100000000000001" customHeight="1" x14ac:dyDescent="0.25">
      <c r="A46" s="52"/>
      <c r="B46" s="53"/>
      <c r="C46" s="53"/>
      <c r="D46" s="53"/>
      <c r="E46" s="53"/>
    </row>
    <row r="47" spans="1:7" ht="20.100000000000001" customHeight="1" x14ac:dyDescent="0.25">
      <c r="A47" s="52"/>
      <c r="B47" s="53"/>
      <c r="C47" s="53"/>
      <c r="D47" s="53"/>
      <c r="E47" s="53"/>
    </row>
    <row r="48" spans="1:7" ht="20.100000000000001" customHeight="1" x14ac:dyDescent="0.25">
      <c r="A48" s="55"/>
      <c r="B48" s="56"/>
      <c r="C48" s="54"/>
      <c r="D48" s="54"/>
      <c r="E48" s="54"/>
    </row>
    <row r="49" spans="1:5" ht="20.100000000000001" customHeight="1" x14ac:dyDescent="0.25">
      <c r="A49" s="55"/>
      <c r="B49" s="56"/>
      <c r="C49" s="56"/>
      <c r="D49" s="56"/>
      <c r="E49" s="54"/>
    </row>
    <row r="50" spans="1:5" ht="20.100000000000001" customHeight="1" x14ac:dyDescent="0.25">
      <c r="A50" s="55"/>
      <c r="B50" s="56"/>
      <c r="C50" s="54"/>
      <c r="D50" s="54"/>
      <c r="E50" s="54"/>
    </row>
    <row r="51" spans="1:5" ht="20.100000000000001" customHeight="1" x14ac:dyDescent="0.25"/>
    <row r="52" spans="1:5" ht="20.100000000000001" customHeight="1" x14ac:dyDescent="0.25"/>
    <row r="53" spans="1:5" ht="20.100000000000001" customHeight="1" x14ac:dyDescent="0.25"/>
    <row r="54" spans="1:5" ht="20.100000000000001" customHeight="1" x14ac:dyDescent="0.25"/>
  </sheetData>
  <mergeCells count="2">
    <mergeCell ref="A2:G2"/>
    <mergeCell ref="A23:E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E112-341B-4982-BAA3-3713453A902B}">
  <sheetPr codeName="Planilha12">
    <tabColor theme="9" tint="0.59999389629810485"/>
  </sheetPr>
  <dimension ref="A2:K82"/>
  <sheetViews>
    <sheetView workbookViewId="0">
      <selection activeCell="A68" sqref="A68:I68"/>
    </sheetView>
  </sheetViews>
  <sheetFormatPr defaultColWidth="9.140625" defaultRowHeight="14.25" x14ac:dyDescent="0.25"/>
  <cols>
    <col min="1" max="1" width="9.140625" style="102"/>
    <col min="2" max="2" width="42.42578125" style="102" bestFit="1" customWidth="1"/>
    <col min="3" max="4" width="11.42578125" style="102" hidden="1" customWidth="1"/>
    <col min="5" max="9" width="11.42578125" style="102" customWidth="1"/>
    <col min="10" max="16384" width="9.140625" style="102"/>
  </cols>
  <sheetData>
    <row r="2" spans="1:9" ht="15" customHeight="1" x14ac:dyDescent="0.25">
      <c r="A2" s="99" t="s">
        <v>34</v>
      </c>
      <c r="B2" s="100"/>
      <c r="C2" s="100"/>
      <c r="D2" s="101"/>
      <c r="E2" s="101"/>
      <c r="F2" s="101"/>
      <c r="G2" s="101"/>
      <c r="H2" s="101"/>
    </row>
    <row r="3" spans="1:9" ht="15" customHeight="1" x14ac:dyDescent="0.25">
      <c r="A3" s="103"/>
      <c r="B3" s="103"/>
      <c r="C3" s="103"/>
      <c r="D3" s="103"/>
      <c r="E3" s="104"/>
      <c r="F3" s="104"/>
      <c r="G3" s="104"/>
      <c r="H3" s="104"/>
    </row>
    <row r="4" spans="1:9" ht="15" customHeight="1" x14ac:dyDescent="0.25">
      <c r="A4" s="105" t="s">
        <v>35</v>
      </c>
      <c r="B4" s="106"/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07">
        <v>2019</v>
      </c>
      <c r="I4" s="107">
        <v>2020</v>
      </c>
    </row>
    <row r="5" spans="1:9" ht="15" customHeight="1" x14ac:dyDescent="0.25">
      <c r="A5" s="108"/>
      <c r="B5" s="108"/>
      <c r="C5" s="108"/>
      <c r="D5" s="108"/>
      <c r="E5" s="108"/>
      <c r="F5" s="108"/>
      <c r="G5" s="108"/>
      <c r="H5" s="109"/>
    </row>
    <row r="6" spans="1:9" ht="15" customHeight="1" x14ac:dyDescent="0.25">
      <c r="A6" s="507"/>
      <c r="B6" s="507" t="s">
        <v>36</v>
      </c>
      <c r="C6" s="111">
        <f t="shared" ref="C6:I6" si="0">SUM(C7:C14)</f>
        <v>239666</v>
      </c>
      <c r="D6" s="111">
        <f t="shared" si="0"/>
        <v>313272</v>
      </c>
      <c r="E6" s="129">
        <f t="shared" si="0"/>
        <v>355420</v>
      </c>
      <c r="F6" s="129">
        <f t="shared" si="0"/>
        <v>430653.12803999998</v>
      </c>
      <c r="G6" s="129">
        <f t="shared" si="0"/>
        <v>470597.32575999998</v>
      </c>
      <c r="H6" s="129">
        <f t="shared" si="0"/>
        <v>654061</v>
      </c>
      <c r="I6" s="129">
        <f t="shared" si="0"/>
        <v>768818</v>
      </c>
    </row>
    <row r="7" spans="1:9" ht="15" customHeight="1" x14ac:dyDescent="0.25">
      <c r="A7" s="112"/>
      <c r="B7" s="112" t="s">
        <v>37</v>
      </c>
      <c r="C7" s="113">
        <v>25936</v>
      </c>
      <c r="D7" s="113">
        <v>46629</v>
      </c>
      <c r="E7" s="113">
        <v>37037</v>
      </c>
      <c r="F7" s="113">
        <v>78588</v>
      </c>
      <c r="G7" s="113">
        <v>43997</v>
      </c>
      <c r="H7" s="113">
        <v>169607</v>
      </c>
      <c r="I7" s="113">
        <v>168144</v>
      </c>
    </row>
    <row r="8" spans="1:9" ht="15" customHeight="1" x14ac:dyDescent="0.25">
      <c r="A8" s="112"/>
      <c r="B8" s="112" t="s">
        <v>38</v>
      </c>
      <c r="C8" s="113">
        <v>134604</v>
      </c>
      <c r="D8" s="113">
        <v>175861</v>
      </c>
      <c r="E8" s="113">
        <v>240365</v>
      </c>
      <c r="F8" s="113">
        <v>244903.12804000001</v>
      </c>
      <c r="G8" s="113">
        <v>317222.32575999998</v>
      </c>
      <c r="H8" s="113">
        <v>392400</v>
      </c>
      <c r="I8" s="113">
        <v>490455</v>
      </c>
    </row>
    <row r="9" spans="1:9" ht="15" customHeight="1" x14ac:dyDescent="0.25">
      <c r="A9" s="112"/>
      <c r="B9" s="112" t="s">
        <v>39</v>
      </c>
      <c r="C9" s="113">
        <v>39402</v>
      </c>
      <c r="D9" s="113">
        <v>43870</v>
      </c>
      <c r="E9" s="113">
        <v>47155</v>
      </c>
      <c r="F9" s="113">
        <v>56541</v>
      </c>
      <c r="G9" s="113">
        <v>66777</v>
      </c>
      <c r="H9" s="113">
        <v>45722</v>
      </c>
      <c r="I9" s="113">
        <v>50496</v>
      </c>
    </row>
    <row r="10" spans="1:9" ht="15" customHeight="1" x14ac:dyDescent="0.25">
      <c r="A10" s="112"/>
      <c r="B10" s="112" t="s">
        <v>40</v>
      </c>
      <c r="C10" s="113">
        <v>5950</v>
      </c>
      <c r="D10" s="113">
        <v>11642</v>
      </c>
      <c r="E10" s="113">
        <v>2300</v>
      </c>
      <c r="F10" s="113">
        <v>5113</v>
      </c>
      <c r="G10" s="113">
        <v>4011</v>
      </c>
      <c r="H10" s="113">
        <v>6490</v>
      </c>
      <c r="I10" s="113">
        <v>18550</v>
      </c>
    </row>
    <row r="11" spans="1:9" ht="15" customHeight="1" x14ac:dyDescent="0.25">
      <c r="A11" s="112"/>
      <c r="B11" s="112" t="s">
        <v>41</v>
      </c>
      <c r="C11" s="113">
        <v>0</v>
      </c>
      <c r="D11" s="113">
        <v>0</v>
      </c>
      <c r="E11" s="113">
        <v>0</v>
      </c>
      <c r="F11" s="113">
        <v>7304</v>
      </c>
      <c r="G11" s="113">
        <v>7764</v>
      </c>
      <c r="H11" s="113">
        <v>8218</v>
      </c>
      <c r="I11" s="113">
        <v>0</v>
      </c>
    </row>
    <row r="12" spans="1:9" ht="15" customHeight="1" x14ac:dyDescent="0.25">
      <c r="A12" s="112"/>
      <c r="B12" s="112" t="s">
        <v>42</v>
      </c>
      <c r="C12" s="113">
        <v>6383</v>
      </c>
      <c r="D12" s="113">
        <v>7232</v>
      </c>
      <c r="E12" s="113">
        <v>10386</v>
      </c>
      <c r="F12" s="113">
        <v>25777</v>
      </c>
      <c r="G12" s="113">
        <v>18015</v>
      </c>
      <c r="H12" s="113">
        <v>21919</v>
      </c>
      <c r="I12" s="113">
        <v>30309</v>
      </c>
    </row>
    <row r="13" spans="1:9" ht="15" customHeight="1" x14ac:dyDescent="0.25">
      <c r="A13" s="112"/>
      <c r="B13" s="112" t="s">
        <v>43</v>
      </c>
      <c r="C13" s="113">
        <v>7107</v>
      </c>
      <c r="D13" s="113">
        <v>7866</v>
      </c>
      <c r="E13" s="113">
        <v>14390</v>
      </c>
      <c r="F13" s="113">
        <v>8607</v>
      </c>
      <c r="G13" s="113">
        <v>8930</v>
      </c>
      <c r="H13" s="113">
        <v>9314</v>
      </c>
      <c r="I13" s="113">
        <v>10450</v>
      </c>
    </row>
    <row r="14" spans="1:9" ht="15" customHeight="1" x14ac:dyDescent="0.25">
      <c r="A14" s="112"/>
      <c r="B14" s="112" t="s">
        <v>44</v>
      </c>
      <c r="C14" s="113">
        <v>20284</v>
      </c>
      <c r="D14" s="113">
        <v>20172</v>
      </c>
      <c r="E14" s="113">
        <v>3787</v>
      </c>
      <c r="F14" s="113">
        <v>3820</v>
      </c>
      <c r="G14" s="113">
        <v>3881</v>
      </c>
      <c r="H14" s="113">
        <v>391</v>
      </c>
      <c r="I14" s="113">
        <v>414</v>
      </c>
    </row>
    <row r="15" spans="1:9" ht="15" customHeight="1" x14ac:dyDescent="0.25">
      <c r="A15" s="112"/>
      <c r="B15" s="112"/>
      <c r="C15" s="114"/>
      <c r="D15" s="114"/>
      <c r="E15" s="114"/>
      <c r="F15" s="115"/>
      <c r="G15" s="115"/>
      <c r="H15" s="114"/>
      <c r="I15" s="114"/>
    </row>
    <row r="16" spans="1:9" ht="15" customHeight="1" x14ac:dyDescent="0.25">
      <c r="A16" s="507"/>
      <c r="B16" s="507" t="s">
        <v>45</v>
      </c>
      <c r="C16" s="508">
        <f t="shared" ref="C16:I16" si="1">C17+C27</f>
        <v>3981840</v>
      </c>
      <c r="D16" s="508">
        <f t="shared" si="1"/>
        <v>4031072</v>
      </c>
      <c r="E16" s="508">
        <f t="shared" si="1"/>
        <v>4161315</v>
      </c>
      <c r="F16" s="508">
        <f t="shared" si="1"/>
        <v>4128322.8719600001</v>
      </c>
      <c r="G16" s="508">
        <f t="shared" si="1"/>
        <v>4352964.7027700003</v>
      </c>
      <c r="H16" s="508">
        <f t="shared" si="1"/>
        <v>4777603</v>
      </c>
      <c r="I16" s="508">
        <f t="shared" si="1"/>
        <v>5010220</v>
      </c>
    </row>
    <row r="17" spans="1:11" ht="15" customHeight="1" x14ac:dyDescent="0.25">
      <c r="A17" s="110"/>
      <c r="B17" s="110" t="s">
        <v>46</v>
      </c>
      <c r="C17" s="111">
        <f t="shared" ref="C17:I17" si="2">SUM(C18:C25)</f>
        <v>314727</v>
      </c>
      <c r="D17" s="111">
        <f t="shared" si="2"/>
        <v>242502</v>
      </c>
      <c r="E17" s="111">
        <f t="shared" si="2"/>
        <v>401305</v>
      </c>
      <c r="F17" s="111">
        <f t="shared" si="2"/>
        <v>613333.87196000002</v>
      </c>
      <c r="G17" s="111">
        <f t="shared" si="2"/>
        <v>788607.70276999997</v>
      </c>
      <c r="H17" s="111">
        <f t="shared" si="2"/>
        <v>1077036</v>
      </c>
      <c r="I17" s="111">
        <f t="shared" si="2"/>
        <v>1195593</v>
      </c>
    </row>
    <row r="18" spans="1:11" ht="15" customHeight="1" x14ac:dyDescent="0.25">
      <c r="A18" s="112"/>
      <c r="B18" s="112" t="s">
        <v>38</v>
      </c>
      <c r="C18" s="113">
        <v>32805</v>
      </c>
      <c r="D18" s="113">
        <v>30988</v>
      </c>
      <c r="E18" s="113">
        <v>11709</v>
      </c>
      <c r="F18" s="113">
        <v>9003.8719600000004</v>
      </c>
      <c r="G18" s="113">
        <v>9849.7027699999962</v>
      </c>
      <c r="H18" s="113">
        <v>17794</v>
      </c>
      <c r="I18" s="113">
        <v>18674</v>
      </c>
    </row>
    <row r="19" spans="1:11" ht="15" customHeight="1" x14ac:dyDescent="0.25">
      <c r="A19" s="112"/>
      <c r="B19" s="112" t="s">
        <v>47</v>
      </c>
      <c r="C19" s="113">
        <v>17411</v>
      </c>
      <c r="D19" s="113">
        <v>17411</v>
      </c>
      <c r="E19" s="113">
        <v>34667</v>
      </c>
      <c r="F19" s="113">
        <v>40</v>
      </c>
      <c r="G19" s="113">
        <v>40</v>
      </c>
      <c r="H19" s="113">
        <v>0</v>
      </c>
      <c r="I19" s="113">
        <v>0</v>
      </c>
    </row>
    <row r="20" spans="1:11" ht="15" customHeight="1" x14ac:dyDescent="0.25">
      <c r="A20" s="112"/>
      <c r="B20" s="112" t="s">
        <v>48</v>
      </c>
      <c r="C20" s="113">
        <v>3275</v>
      </c>
      <c r="D20" s="113">
        <v>3845</v>
      </c>
      <c r="E20" s="113">
        <v>3877</v>
      </c>
      <c r="F20" s="113">
        <v>3981</v>
      </c>
      <c r="G20" s="113">
        <v>10095</v>
      </c>
      <c r="H20" s="113">
        <v>9384</v>
      </c>
      <c r="I20" s="113">
        <v>16069</v>
      </c>
    </row>
    <row r="21" spans="1:11" ht="15" customHeight="1" x14ac:dyDescent="0.25">
      <c r="A21" s="112"/>
      <c r="B21" s="112" t="s">
        <v>49</v>
      </c>
      <c r="C21" s="113">
        <v>145577</v>
      </c>
      <c r="D21" s="113">
        <v>11177</v>
      </c>
      <c r="E21" s="113">
        <v>89429</v>
      </c>
      <c r="F21" s="113">
        <v>243719</v>
      </c>
      <c r="G21" s="113">
        <v>237658</v>
      </c>
      <c r="H21" s="113">
        <v>215540</v>
      </c>
      <c r="I21" s="113">
        <v>115401</v>
      </c>
    </row>
    <row r="22" spans="1:11" ht="15" customHeight="1" x14ac:dyDescent="0.25">
      <c r="A22" s="112"/>
      <c r="B22" s="112" t="s">
        <v>43</v>
      </c>
      <c r="C22" s="113">
        <v>83363</v>
      </c>
      <c r="D22" s="113">
        <v>127317</v>
      </c>
      <c r="E22" s="113">
        <v>235989</v>
      </c>
      <c r="F22" s="113">
        <v>340589</v>
      </c>
      <c r="G22" s="113">
        <v>497158</v>
      </c>
      <c r="H22" s="113">
        <v>677280</v>
      </c>
      <c r="I22" s="113">
        <v>839500</v>
      </c>
    </row>
    <row r="23" spans="1:11" ht="15" customHeight="1" x14ac:dyDescent="0.25">
      <c r="A23" s="112"/>
      <c r="B23" s="112" t="s">
        <v>50</v>
      </c>
      <c r="C23" s="113">
        <v>0</v>
      </c>
      <c r="D23" s="113">
        <v>0</v>
      </c>
      <c r="E23" s="113">
        <v>0</v>
      </c>
      <c r="F23" s="113">
        <v>0</v>
      </c>
      <c r="G23" s="113">
        <v>19616</v>
      </c>
      <c r="H23" s="113">
        <v>142214</v>
      </c>
      <c r="I23" s="113">
        <v>192803</v>
      </c>
    </row>
    <row r="24" spans="1:11" ht="15" customHeight="1" x14ac:dyDescent="0.25">
      <c r="A24" s="112"/>
      <c r="B24" s="112" t="s">
        <v>51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</row>
    <row r="25" spans="1:11" ht="15" customHeight="1" x14ac:dyDescent="0.25">
      <c r="A25" s="112"/>
      <c r="B25" s="112" t="s">
        <v>41</v>
      </c>
      <c r="C25" s="113">
        <v>32296</v>
      </c>
      <c r="D25" s="113">
        <v>51764</v>
      </c>
      <c r="E25" s="113">
        <v>25634</v>
      </c>
      <c r="F25" s="113">
        <v>16001</v>
      </c>
      <c r="G25" s="113">
        <v>14191</v>
      </c>
      <c r="H25" s="113">
        <v>14824</v>
      </c>
      <c r="I25" s="113">
        <v>13146</v>
      </c>
    </row>
    <row r="26" spans="1:11" ht="15" customHeight="1" x14ac:dyDescent="0.25">
      <c r="A26" s="112"/>
      <c r="B26" s="112"/>
      <c r="C26" s="116"/>
      <c r="D26" s="116"/>
      <c r="E26" s="116"/>
      <c r="F26" s="116"/>
      <c r="G26" s="116"/>
      <c r="H26" s="116"/>
      <c r="I26" s="116"/>
    </row>
    <row r="27" spans="1:11" ht="15" customHeight="1" x14ac:dyDescent="0.25">
      <c r="A27" s="507"/>
      <c r="B27" s="507" t="s">
        <v>52</v>
      </c>
      <c r="C27" s="508">
        <f t="shared" ref="C27:I27" si="3">SUM(C28:C32)</f>
        <v>3667113</v>
      </c>
      <c r="D27" s="508">
        <f t="shared" si="3"/>
        <v>3788570</v>
      </c>
      <c r="E27" s="508">
        <f t="shared" si="3"/>
        <v>3760010</v>
      </c>
      <c r="F27" s="508">
        <f t="shared" si="3"/>
        <v>3514989</v>
      </c>
      <c r="G27" s="508">
        <f t="shared" si="3"/>
        <v>3564357</v>
      </c>
      <c r="H27" s="508">
        <f t="shared" si="3"/>
        <v>3700567</v>
      </c>
      <c r="I27" s="508">
        <f t="shared" si="3"/>
        <v>3814627</v>
      </c>
    </row>
    <row r="28" spans="1:11" ht="15" customHeight="1" x14ac:dyDescent="0.25">
      <c r="A28" s="112"/>
      <c r="B28" s="112" t="s">
        <v>53</v>
      </c>
      <c r="C28" s="113">
        <v>0</v>
      </c>
      <c r="D28" s="113">
        <v>0</v>
      </c>
      <c r="E28" s="113">
        <v>0</v>
      </c>
      <c r="F28" s="113">
        <v>9</v>
      </c>
      <c r="G28" s="113">
        <v>9</v>
      </c>
      <c r="H28" s="113">
        <v>9</v>
      </c>
      <c r="I28" s="113">
        <v>9</v>
      </c>
    </row>
    <row r="29" spans="1:11" ht="15" customHeight="1" x14ac:dyDescent="0.25">
      <c r="A29" s="112"/>
      <c r="B29" s="112" t="s">
        <v>54</v>
      </c>
      <c r="C29" s="113">
        <v>88821</v>
      </c>
      <c r="D29" s="113">
        <v>91173</v>
      </c>
      <c r="E29" s="113">
        <v>135080</v>
      </c>
      <c r="F29" s="113">
        <v>173389</v>
      </c>
      <c r="G29" s="113">
        <v>307047</v>
      </c>
      <c r="H29" s="113">
        <v>372614</v>
      </c>
      <c r="I29" s="113">
        <v>360583</v>
      </c>
    </row>
    <row r="30" spans="1:11" ht="15" customHeight="1" x14ac:dyDescent="0.25">
      <c r="A30" s="112"/>
      <c r="B30" s="112" t="s">
        <v>55</v>
      </c>
      <c r="C30" s="113">
        <v>3322272</v>
      </c>
      <c r="D30" s="113">
        <v>3413216</v>
      </c>
      <c r="E30" s="113">
        <v>3624930</v>
      </c>
      <c r="F30" s="113">
        <v>3341591</v>
      </c>
      <c r="G30" s="113">
        <v>2688973</v>
      </c>
      <c r="H30" s="113">
        <v>2697402</v>
      </c>
      <c r="I30" s="113">
        <v>2723883</v>
      </c>
      <c r="K30" s="117"/>
    </row>
    <row r="31" spans="1:11" ht="15" customHeight="1" x14ac:dyDescent="0.25">
      <c r="A31" s="112"/>
      <c r="B31" s="112" t="s">
        <v>56</v>
      </c>
      <c r="C31" s="113">
        <v>256020</v>
      </c>
      <c r="D31" s="113">
        <v>284181</v>
      </c>
      <c r="E31" s="113">
        <v>0</v>
      </c>
      <c r="F31" s="113">
        <v>0</v>
      </c>
      <c r="G31" s="113">
        <v>0</v>
      </c>
      <c r="H31" s="113"/>
      <c r="I31" s="113"/>
    </row>
    <row r="32" spans="1:11" ht="15" customHeight="1" x14ac:dyDescent="0.25">
      <c r="A32" s="112"/>
      <c r="B32" s="112" t="s">
        <v>57</v>
      </c>
      <c r="C32" s="113"/>
      <c r="D32" s="113">
        <v>0</v>
      </c>
      <c r="E32" s="113">
        <v>0</v>
      </c>
      <c r="F32" s="113">
        <v>0</v>
      </c>
      <c r="G32" s="113">
        <f>568328</f>
        <v>568328</v>
      </c>
      <c r="H32" s="113">
        <v>630542</v>
      </c>
      <c r="I32" s="113">
        <v>730152</v>
      </c>
    </row>
    <row r="33" spans="1:9" ht="15" customHeight="1" x14ac:dyDescent="0.25">
      <c r="A33" s="112"/>
      <c r="B33" s="112"/>
      <c r="C33" s="115"/>
      <c r="D33" s="115"/>
      <c r="E33" s="115"/>
      <c r="F33" s="115"/>
      <c r="G33" s="115"/>
      <c r="H33" s="115"/>
      <c r="I33" s="115"/>
    </row>
    <row r="34" spans="1:9" ht="15" customHeight="1" x14ac:dyDescent="0.25">
      <c r="A34" s="118" t="s">
        <v>58</v>
      </c>
      <c r="B34" s="118"/>
      <c r="C34" s="119">
        <f t="shared" ref="C34:I34" si="4">C6+C16</f>
        <v>4221506</v>
      </c>
      <c r="D34" s="119">
        <f t="shared" si="4"/>
        <v>4344344</v>
      </c>
      <c r="E34" s="119">
        <f t="shared" si="4"/>
        <v>4516735</v>
      </c>
      <c r="F34" s="119">
        <f t="shared" si="4"/>
        <v>4558976</v>
      </c>
      <c r="G34" s="119">
        <f t="shared" si="4"/>
        <v>4823562.0285300007</v>
      </c>
      <c r="H34" s="119">
        <f t="shared" si="4"/>
        <v>5431664</v>
      </c>
      <c r="I34" s="119">
        <f t="shared" si="4"/>
        <v>5779038</v>
      </c>
    </row>
    <row r="35" spans="1:9" ht="15" customHeight="1" x14ac:dyDescent="0.25">
      <c r="A35" s="112"/>
      <c r="B35" s="112"/>
      <c r="C35" s="115"/>
      <c r="D35" s="115"/>
      <c r="E35" s="115"/>
      <c r="F35" s="115"/>
      <c r="G35" s="115"/>
      <c r="H35" s="115"/>
      <c r="I35" s="115"/>
    </row>
    <row r="36" spans="1:9" ht="15" customHeight="1" x14ac:dyDescent="0.25">
      <c r="A36" s="507"/>
      <c r="B36" s="507" t="s">
        <v>36</v>
      </c>
      <c r="C36" s="508">
        <f t="shared" ref="C36:I36" si="5">SUM(C37:C51)</f>
        <v>787816</v>
      </c>
      <c r="D36" s="508">
        <f t="shared" si="5"/>
        <v>630966</v>
      </c>
      <c r="E36" s="508">
        <f t="shared" si="5"/>
        <v>746802</v>
      </c>
      <c r="F36" s="508">
        <f t="shared" si="5"/>
        <v>657998</v>
      </c>
      <c r="G36" s="508">
        <f t="shared" si="5"/>
        <v>526873</v>
      </c>
      <c r="H36" s="508">
        <f t="shared" si="5"/>
        <v>731251</v>
      </c>
      <c r="I36" s="508">
        <f t="shared" si="5"/>
        <v>698249</v>
      </c>
    </row>
    <row r="37" spans="1:9" ht="15" customHeight="1" x14ac:dyDescent="0.25">
      <c r="A37" s="112"/>
      <c r="B37" s="112" t="s">
        <v>59</v>
      </c>
      <c r="C37" s="113">
        <v>305963</v>
      </c>
      <c r="D37" s="113">
        <v>117652</v>
      </c>
      <c r="E37" s="113">
        <v>195952</v>
      </c>
      <c r="F37" s="113">
        <v>154343</v>
      </c>
      <c r="G37" s="113">
        <v>137059</v>
      </c>
      <c r="H37" s="113">
        <v>130881</v>
      </c>
      <c r="I37" s="113">
        <v>134637</v>
      </c>
    </row>
    <row r="38" spans="1:9" ht="15" customHeight="1" x14ac:dyDescent="0.25">
      <c r="A38" s="112"/>
      <c r="B38" s="112" t="s">
        <v>60</v>
      </c>
      <c r="C38" s="113">
        <v>266829</v>
      </c>
      <c r="D38" s="113">
        <v>251347</v>
      </c>
      <c r="E38" s="113">
        <v>305692</v>
      </c>
      <c r="F38" s="113">
        <v>218815</v>
      </c>
      <c r="G38" s="113">
        <v>139419</v>
      </c>
      <c r="H38" s="113">
        <v>129678</v>
      </c>
      <c r="I38" s="113">
        <v>118057</v>
      </c>
    </row>
    <row r="39" spans="1:9" ht="15" customHeight="1" x14ac:dyDescent="0.25">
      <c r="A39" s="112"/>
      <c r="B39" s="112" t="s">
        <v>61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13150</v>
      </c>
      <c r="I39" s="113">
        <v>14837</v>
      </c>
    </row>
    <row r="40" spans="1:9" ht="15" customHeight="1" x14ac:dyDescent="0.25">
      <c r="A40" s="112"/>
      <c r="B40" s="112" t="s">
        <v>62</v>
      </c>
      <c r="C40" s="113">
        <v>4539</v>
      </c>
      <c r="D40" s="113">
        <v>6017</v>
      </c>
      <c r="E40" s="113">
        <v>1364</v>
      </c>
      <c r="F40" s="113">
        <v>4307</v>
      </c>
      <c r="G40" s="113">
        <v>1704</v>
      </c>
      <c r="H40" s="113">
        <v>0</v>
      </c>
      <c r="I40" s="113">
        <v>0</v>
      </c>
    </row>
    <row r="41" spans="1:9" ht="15" customHeight="1" x14ac:dyDescent="0.25">
      <c r="A41" s="112"/>
      <c r="B41" s="112" t="s">
        <v>63</v>
      </c>
      <c r="C41" s="113">
        <v>39427</v>
      </c>
      <c r="D41" s="113">
        <v>63233</v>
      </c>
      <c r="E41" s="113">
        <v>105844</v>
      </c>
      <c r="F41" s="113">
        <v>136734</v>
      </c>
      <c r="G41" s="113">
        <v>100896</v>
      </c>
      <c r="H41" s="113">
        <v>149286</v>
      </c>
      <c r="I41" s="113">
        <v>143801</v>
      </c>
    </row>
    <row r="42" spans="1:9" ht="15" customHeight="1" x14ac:dyDescent="0.25">
      <c r="A42" s="112"/>
      <c r="B42" s="112" t="s">
        <v>64</v>
      </c>
      <c r="C42" s="113">
        <v>78834</v>
      </c>
      <c r="D42" s="113">
        <v>52288</v>
      </c>
      <c r="E42" s="113">
        <v>55343</v>
      </c>
      <c r="F42" s="113">
        <v>61290</v>
      </c>
      <c r="G42" s="113">
        <v>27172</v>
      </c>
      <c r="H42" s="113">
        <v>19648</v>
      </c>
      <c r="I42" s="113">
        <v>33813</v>
      </c>
    </row>
    <row r="43" spans="1:9" ht="15" customHeight="1" x14ac:dyDescent="0.25">
      <c r="A43" s="112"/>
      <c r="B43" s="112" t="s">
        <v>65</v>
      </c>
      <c r="C43" s="113">
        <v>30142</v>
      </c>
      <c r="D43" s="113">
        <v>58777</v>
      </c>
      <c r="E43" s="113">
        <v>9561</v>
      </c>
      <c r="F43" s="113">
        <v>24435</v>
      </c>
      <c r="G43" s="113">
        <v>7822</v>
      </c>
      <c r="H43" s="113">
        <v>2672</v>
      </c>
      <c r="I43" s="113">
        <v>5252</v>
      </c>
    </row>
    <row r="44" spans="1:9" ht="15" customHeight="1" x14ac:dyDescent="0.25">
      <c r="A44" s="112"/>
      <c r="B44" s="112" t="s">
        <v>66</v>
      </c>
      <c r="C44" s="113">
        <v>0</v>
      </c>
      <c r="D44" s="113">
        <v>0</v>
      </c>
      <c r="E44" s="113">
        <v>0</v>
      </c>
      <c r="F44" s="113">
        <v>0</v>
      </c>
      <c r="G44" s="113">
        <v>20293</v>
      </c>
      <c r="H44" s="113">
        <v>100236</v>
      </c>
      <c r="I44" s="113">
        <v>15220</v>
      </c>
    </row>
    <row r="45" spans="1:9" ht="15" customHeight="1" x14ac:dyDescent="0.25">
      <c r="A45" s="112"/>
      <c r="B45" s="112" t="s">
        <v>67</v>
      </c>
      <c r="C45" s="113">
        <v>13505</v>
      </c>
      <c r="D45" s="113">
        <v>16469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5" customHeight="1" x14ac:dyDescent="0.25">
      <c r="A46" s="112"/>
      <c r="B46" s="112" t="s">
        <v>68</v>
      </c>
      <c r="C46" s="113">
        <v>82</v>
      </c>
      <c r="D46" s="113">
        <v>12576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5" customHeight="1" x14ac:dyDescent="0.25">
      <c r="A47" s="112"/>
      <c r="B47" s="112" t="s">
        <v>43</v>
      </c>
      <c r="C47" s="113">
        <v>2841</v>
      </c>
      <c r="D47" s="113">
        <v>981</v>
      </c>
      <c r="E47" s="113">
        <v>1462</v>
      </c>
      <c r="F47" s="113">
        <v>1744</v>
      </c>
      <c r="G47" s="113">
        <v>608</v>
      </c>
      <c r="H47" s="113">
        <v>1026</v>
      </c>
      <c r="I47" s="113">
        <v>1616</v>
      </c>
    </row>
    <row r="48" spans="1:9" ht="15" customHeight="1" x14ac:dyDescent="0.25">
      <c r="A48" s="112"/>
      <c r="B48" s="112" t="s">
        <v>69</v>
      </c>
      <c r="C48" s="113">
        <v>17090</v>
      </c>
      <c r="D48" s="113">
        <v>17090</v>
      </c>
      <c r="E48" s="113">
        <v>17090</v>
      </c>
      <c r="F48" s="113">
        <v>2551</v>
      </c>
      <c r="G48" s="113">
        <v>28831</v>
      </c>
      <c r="H48" s="113">
        <v>74992</v>
      </c>
      <c r="I48" s="113">
        <v>79884</v>
      </c>
    </row>
    <row r="49" spans="1:9" ht="15" customHeight="1" x14ac:dyDescent="0.25">
      <c r="A49" s="112"/>
      <c r="B49" s="112" t="s">
        <v>70</v>
      </c>
      <c r="C49" s="113">
        <v>1386</v>
      </c>
      <c r="D49" s="113">
        <v>1386</v>
      </c>
      <c r="E49" s="113">
        <v>116</v>
      </c>
      <c r="F49" s="113">
        <v>1994</v>
      </c>
      <c r="G49" s="113">
        <v>1994</v>
      </c>
      <c r="H49" s="113">
        <v>1994</v>
      </c>
      <c r="I49" s="113">
        <v>1994</v>
      </c>
    </row>
    <row r="50" spans="1:9" ht="15" customHeight="1" x14ac:dyDescent="0.25">
      <c r="A50" s="112"/>
      <c r="B50" s="112" t="s">
        <v>71</v>
      </c>
      <c r="C50" s="113">
        <v>23999</v>
      </c>
      <c r="D50" s="113">
        <v>30343</v>
      </c>
      <c r="E50" s="113">
        <v>51941</v>
      </c>
      <c r="F50" s="113">
        <v>47908</v>
      </c>
      <c r="G50" s="113">
        <v>28979</v>
      </c>
      <c r="H50" s="113">
        <v>95524</v>
      </c>
      <c r="I50" s="113">
        <v>133409</v>
      </c>
    </row>
    <row r="51" spans="1:9" ht="15" customHeight="1" x14ac:dyDescent="0.25">
      <c r="A51" s="112"/>
      <c r="B51" s="112" t="s">
        <v>72</v>
      </c>
      <c r="C51" s="113">
        <v>3179</v>
      </c>
      <c r="D51" s="113">
        <v>2807</v>
      </c>
      <c r="E51" s="113">
        <v>2437</v>
      </c>
      <c r="F51" s="113">
        <v>3877</v>
      </c>
      <c r="G51" s="113">
        <v>32096</v>
      </c>
      <c r="H51" s="113">
        <v>12164</v>
      </c>
      <c r="I51" s="113">
        <v>15729</v>
      </c>
    </row>
    <row r="52" spans="1:9" ht="15" customHeight="1" x14ac:dyDescent="0.25">
      <c r="A52" s="112"/>
      <c r="B52" s="112"/>
      <c r="C52" s="120"/>
      <c r="D52" s="120"/>
      <c r="E52" s="120"/>
      <c r="F52" s="120"/>
      <c r="G52" s="120"/>
      <c r="H52" s="120"/>
      <c r="I52" s="120"/>
    </row>
    <row r="53" spans="1:9" ht="15" customHeight="1" x14ac:dyDescent="0.25">
      <c r="A53" s="507"/>
      <c r="B53" s="507" t="s">
        <v>45</v>
      </c>
      <c r="C53" s="508">
        <f t="shared" ref="C53:I53" si="6">SUM(C54:C66)</f>
        <v>999579</v>
      </c>
      <c r="D53" s="508">
        <f t="shared" si="6"/>
        <v>1571093</v>
      </c>
      <c r="E53" s="508">
        <f t="shared" si="6"/>
        <v>1538979</v>
      </c>
      <c r="F53" s="508">
        <f t="shared" si="6"/>
        <v>1339253</v>
      </c>
      <c r="G53" s="508">
        <f t="shared" si="6"/>
        <v>1651047</v>
      </c>
      <c r="H53" s="508">
        <f t="shared" si="6"/>
        <v>1939753</v>
      </c>
      <c r="I53" s="508">
        <f t="shared" si="6"/>
        <v>2003157</v>
      </c>
    </row>
    <row r="54" spans="1:9" ht="15" customHeight="1" x14ac:dyDescent="0.25">
      <c r="A54" s="112"/>
      <c r="B54" s="112" t="s">
        <v>59</v>
      </c>
      <c r="C54" s="113">
        <v>493805</v>
      </c>
      <c r="D54" s="113">
        <v>834359</v>
      </c>
      <c r="E54" s="113">
        <v>728900</v>
      </c>
      <c r="F54" s="113">
        <v>560949</v>
      </c>
      <c r="G54" s="113">
        <v>453311</v>
      </c>
      <c r="H54" s="113">
        <v>330121</v>
      </c>
      <c r="I54" s="113">
        <v>221249</v>
      </c>
    </row>
    <row r="55" spans="1:9" ht="15" customHeight="1" x14ac:dyDescent="0.25">
      <c r="A55" s="112"/>
      <c r="B55" s="112" t="s">
        <v>61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32621</v>
      </c>
      <c r="I55" s="113">
        <v>17254</v>
      </c>
    </row>
    <row r="56" spans="1:9" ht="15" customHeight="1" x14ac:dyDescent="0.25">
      <c r="A56" s="112"/>
      <c r="B56" s="112" t="s">
        <v>65</v>
      </c>
      <c r="C56" s="113">
        <v>27147</v>
      </c>
      <c r="D56" s="113">
        <v>89795</v>
      </c>
      <c r="E56" s="113">
        <v>21067</v>
      </c>
      <c r="F56" s="113">
        <v>16253</v>
      </c>
      <c r="G56" s="113">
        <v>19756</v>
      </c>
      <c r="H56" s="113">
        <v>17304</v>
      </c>
      <c r="I56" s="113">
        <v>14931</v>
      </c>
    </row>
    <row r="57" spans="1:9" ht="15" customHeight="1" x14ac:dyDescent="0.25">
      <c r="A57" s="112"/>
      <c r="B57" s="112" t="s">
        <v>62</v>
      </c>
      <c r="C57" s="113">
        <v>19856</v>
      </c>
      <c r="D57" s="113">
        <v>37882</v>
      </c>
      <c r="E57" s="113">
        <v>66085</v>
      </c>
      <c r="F57" s="113">
        <v>90780</v>
      </c>
      <c r="G57" s="113">
        <v>83445</v>
      </c>
      <c r="H57" s="113">
        <v>56194</v>
      </c>
      <c r="I57" s="113">
        <v>48480</v>
      </c>
    </row>
    <row r="58" spans="1:9" ht="15" customHeight="1" x14ac:dyDescent="0.25">
      <c r="A58" s="112"/>
      <c r="B58" s="112" t="s">
        <v>73</v>
      </c>
      <c r="C58" s="113">
        <v>52003</v>
      </c>
      <c r="D58" s="113">
        <v>73731</v>
      </c>
      <c r="E58" s="113">
        <v>86555</v>
      </c>
      <c r="F58" s="113">
        <v>43566</v>
      </c>
      <c r="G58" s="113">
        <v>101481</v>
      </c>
      <c r="H58" s="113">
        <v>142209</v>
      </c>
      <c r="I58" s="113">
        <v>145596</v>
      </c>
    </row>
    <row r="59" spans="1:9" ht="15" customHeight="1" x14ac:dyDescent="0.25">
      <c r="A59" s="112"/>
      <c r="B59" s="112" t="s">
        <v>74</v>
      </c>
      <c r="C59" s="113">
        <v>228456</v>
      </c>
      <c r="D59" s="113">
        <v>248954</v>
      </c>
      <c r="E59" s="113">
        <v>241843</v>
      </c>
      <c r="F59" s="113">
        <v>92337</v>
      </c>
      <c r="G59" s="113">
        <v>136448</v>
      </c>
      <c r="H59" s="113">
        <v>152988</v>
      </c>
      <c r="I59" s="113">
        <v>194602</v>
      </c>
    </row>
    <row r="60" spans="1:9" ht="15" customHeight="1" x14ac:dyDescent="0.25">
      <c r="A60" s="112"/>
      <c r="B60" s="112" t="s">
        <v>63</v>
      </c>
      <c r="C60" s="113">
        <v>0</v>
      </c>
      <c r="D60" s="113">
        <v>0</v>
      </c>
      <c r="E60" s="113">
        <v>0</v>
      </c>
      <c r="F60" s="113">
        <v>6144</v>
      </c>
      <c r="G60" s="113">
        <v>0</v>
      </c>
      <c r="H60" s="113">
        <v>1932</v>
      </c>
      <c r="I60" s="113">
        <v>0</v>
      </c>
    </row>
    <row r="61" spans="1:9" ht="15" customHeight="1" x14ac:dyDescent="0.25">
      <c r="A61" s="112"/>
      <c r="B61" s="112" t="s">
        <v>75</v>
      </c>
      <c r="C61" s="113">
        <v>0</v>
      </c>
      <c r="D61" s="113">
        <v>0</v>
      </c>
      <c r="E61" s="113">
        <v>70027</v>
      </c>
      <c r="F61" s="113">
        <v>13699</v>
      </c>
      <c r="G61" s="113">
        <v>8270</v>
      </c>
      <c r="H61" s="113">
        <v>8071</v>
      </c>
      <c r="I61" s="113">
        <v>7314</v>
      </c>
    </row>
    <row r="62" spans="1:9" ht="15" customHeight="1" x14ac:dyDescent="0.25">
      <c r="A62" s="112"/>
      <c r="B62" s="112" t="s">
        <v>70</v>
      </c>
      <c r="C62" s="113">
        <v>1502</v>
      </c>
      <c r="D62" s="113">
        <v>116</v>
      </c>
      <c r="E62" s="113">
        <v>0</v>
      </c>
      <c r="F62" s="113">
        <v>6813</v>
      </c>
      <c r="G62" s="113">
        <v>4819</v>
      </c>
      <c r="H62" s="113">
        <v>2825</v>
      </c>
      <c r="I62" s="113">
        <v>831</v>
      </c>
    </row>
    <row r="63" spans="1:9" ht="15" customHeight="1" x14ac:dyDescent="0.25">
      <c r="A63" s="112"/>
      <c r="B63" s="112" t="s">
        <v>71</v>
      </c>
      <c r="C63" s="113">
        <v>75193</v>
      </c>
      <c r="D63" s="113">
        <v>141019</v>
      </c>
      <c r="E63" s="113">
        <v>88513</v>
      </c>
      <c r="F63" s="113">
        <v>168123</v>
      </c>
      <c r="G63" s="113">
        <v>346359</v>
      </c>
      <c r="H63" s="113">
        <v>389327</v>
      </c>
      <c r="I63" s="113">
        <v>476198</v>
      </c>
    </row>
    <row r="64" spans="1:9" ht="15" customHeight="1" x14ac:dyDescent="0.25">
      <c r="A64" s="112"/>
      <c r="B64" s="112" t="s">
        <v>76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128881</v>
      </c>
      <c r="I64" s="113">
        <v>37202</v>
      </c>
    </row>
    <row r="65" spans="1:9" ht="15" customHeight="1" x14ac:dyDescent="0.25">
      <c r="A65" s="112"/>
      <c r="B65" s="112" t="s">
        <v>43</v>
      </c>
      <c r="C65" s="113">
        <v>83363</v>
      </c>
      <c r="D65" s="113">
        <v>127317</v>
      </c>
      <c r="E65" s="113">
        <v>235989</v>
      </c>
      <c r="F65" s="113">
        <v>340589</v>
      </c>
      <c r="G65" s="113">
        <v>497158</v>
      </c>
      <c r="H65" s="113">
        <v>677280</v>
      </c>
      <c r="I65" s="113">
        <v>839500</v>
      </c>
    </row>
    <row r="66" spans="1:9" ht="15" customHeight="1" x14ac:dyDescent="0.25">
      <c r="A66" s="112"/>
      <c r="B66" s="112" t="s">
        <v>77</v>
      </c>
      <c r="C66" s="113">
        <v>18254</v>
      </c>
      <c r="D66" s="113">
        <v>17920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</row>
    <row r="67" spans="1:9" ht="15" customHeight="1" x14ac:dyDescent="0.25">
      <c r="A67" s="112"/>
      <c r="B67" s="112"/>
      <c r="C67" s="115"/>
      <c r="D67" s="115"/>
      <c r="E67" s="115"/>
      <c r="F67" s="115"/>
      <c r="G67" s="115"/>
      <c r="H67" s="115"/>
      <c r="I67" s="115"/>
    </row>
    <row r="68" spans="1:9" ht="15" customHeight="1" x14ac:dyDescent="0.25">
      <c r="A68" s="507"/>
      <c r="B68" s="507" t="s">
        <v>78</v>
      </c>
      <c r="C68" s="508">
        <f t="shared" ref="C68:I68" si="7">SUM(C69:C76)</f>
        <v>2434111</v>
      </c>
      <c r="D68" s="508">
        <f t="shared" si="7"/>
        <v>2142285</v>
      </c>
      <c r="E68" s="508">
        <f t="shared" si="7"/>
        <v>2230954</v>
      </c>
      <c r="F68" s="508">
        <f t="shared" si="7"/>
        <v>2561725</v>
      </c>
      <c r="G68" s="508">
        <f t="shared" si="7"/>
        <v>2645642</v>
      </c>
      <c r="H68" s="508">
        <f t="shared" si="7"/>
        <v>2760660</v>
      </c>
      <c r="I68" s="508">
        <f t="shared" si="7"/>
        <v>3077632</v>
      </c>
    </row>
    <row r="69" spans="1:9" ht="15" customHeight="1" x14ac:dyDescent="0.25">
      <c r="A69" s="112"/>
      <c r="B69" s="112" t="s">
        <v>79</v>
      </c>
      <c r="C69" s="113">
        <v>2417895</v>
      </c>
      <c r="D69" s="113">
        <v>2454697</v>
      </c>
      <c r="E69" s="113">
        <v>2450509</v>
      </c>
      <c r="F69" s="113">
        <v>2515546</v>
      </c>
      <c r="G69" s="113">
        <v>2515546</v>
      </c>
      <c r="H69" s="113">
        <v>2515546</v>
      </c>
      <c r="I69" s="113">
        <v>2515546</v>
      </c>
    </row>
    <row r="70" spans="1:9" ht="15" customHeight="1" x14ac:dyDescent="0.25">
      <c r="A70" s="112"/>
      <c r="B70" s="112" t="s">
        <v>80</v>
      </c>
      <c r="C70" s="113">
        <v>140413</v>
      </c>
      <c r="D70" s="113">
        <v>140413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</row>
    <row r="71" spans="1:9" ht="15" customHeight="1" x14ac:dyDescent="0.25">
      <c r="A71" s="112"/>
      <c r="B71" s="112" t="s">
        <v>81</v>
      </c>
      <c r="C71" s="113">
        <v>4196</v>
      </c>
      <c r="D71" s="113">
        <v>4196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ht="15" customHeight="1" x14ac:dyDescent="0.25">
      <c r="A72" s="112"/>
      <c r="B72" s="112" t="s">
        <v>82</v>
      </c>
      <c r="C72" s="113">
        <v>0</v>
      </c>
      <c r="D72" s="113">
        <v>0</v>
      </c>
      <c r="E72" s="113">
        <v>4196</v>
      </c>
      <c r="F72" s="113">
        <v>4733</v>
      </c>
      <c r="G72" s="113">
        <v>10266</v>
      </c>
      <c r="H72" s="113">
        <v>24020</v>
      </c>
      <c r="I72" s="113">
        <v>40837</v>
      </c>
    </row>
    <row r="73" spans="1:9" ht="15" customHeight="1" x14ac:dyDescent="0.25">
      <c r="A73" s="112"/>
      <c r="B73" s="112" t="s">
        <v>83</v>
      </c>
      <c r="C73" s="113">
        <v>35434</v>
      </c>
      <c r="D73" s="113">
        <v>34785</v>
      </c>
      <c r="E73" s="113">
        <v>34261</v>
      </c>
      <c r="F73" s="113">
        <v>33794</v>
      </c>
      <c r="G73" s="113">
        <v>33335</v>
      </c>
      <c r="H73" s="113">
        <v>33319</v>
      </c>
      <c r="I73" s="113">
        <v>33315</v>
      </c>
    </row>
    <row r="74" spans="1:9" ht="15" customHeight="1" x14ac:dyDescent="0.25">
      <c r="A74" s="112"/>
      <c r="B74" s="112" t="s">
        <v>84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-85061</v>
      </c>
      <c r="I74" s="113">
        <v>-24553</v>
      </c>
    </row>
    <row r="75" spans="1:9" ht="15" customHeight="1" x14ac:dyDescent="0.25">
      <c r="A75" s="112"/>
      <c r="B75" s="112" t="s">
        <v>85</v>
      </c>
      <c r="C75" s="113">
        <v>0</v>
      </c>
      <c r="D75" s="113">
        <v>0</v>
      </c>
      <c r="E75" s="113">
        <v>0</v>
      </c>
      <c r="F75" s="113">
        <v>7652</v>
      </c>
      <c r="G75" s="113">
        <v>86495</v>
      </c>
      <c r="H75" s="113">
        <v>272836</v>
      </c>
      <c r="I75" s="113">
        <v>512487</v>
      </c>
    </row>
    <row r="76" spans="1:9" ht="15" customHeight="1" x14ac:dyDescent="0.25">
      <c r="A76" s="112"/>
      <c r="B76" s="112" t="s">
        <v>86</v>
      </c>
      <c r="C76" s="113">
        <v>-163827</v>
      </c>
      <c r="D76" s="113">
        <v>-491806</v>
      </c>
      <c r="E76" s="113">
        <v>-258012</v>
      </c>
      <c r="F76" s="113">
        <v>0</v>
      </c>
      <c r="G76" s="113">
        <v>0</v>
      </c>
      <c r="H76" s="113">
        <v>0</v>
      </c>
      <c r="I76" s="113"/>
    </row>
    <row r="77" spans="1:9" ht="15" customHeight="1" x14ac:dyDescent="0.25">
      <c r="A77" s="112"/>
      <c r="B77" s="112"/>
      <c r="C77" s="115"/>
      <c r="D77" s="115"/>
      <c r="E77" s="115"/>
      <c r="F77" s="115"/>
      <c r="G77" s="115"/>
      <c r="H77" s="115"/>
      <c r="I77" s="115"/>
    </row>
    <row r="78" spans="1:9" ht="15" customHeight="1" x14ac:dyDescent="0.25">
      <c r="A78" s="118" t="s">
        <v>87</v>
      </c>
      <c r="B78" s="118"/>
      <c r="C78" s="119">
        <f t="shared" ref="C78:I78" si="8">C36+C53+C68</f>
        <v>4221506</v>
      </c>
      <c r="D78" s="119">
        <f t="shared" si="8"/>
        <v>4344344</v>
      </c>
      <c r="E78" s="119">
        <f t="shared" si="8"/>
        <v>4516735</v>
      </c>
      <c r="F78" s="119">
        <f t="shared" si="8"/>
        <v>4558976</v>
      </c>
      <c r="G78" s="119">
        <f t="shared" si="8"/>
        <v>4823562</v>
      </c>
      <c r="H78" s="119">
        <f t="shared" si="8"/>
        <v>5431664</v>
      </c>
      <c r="I78" s="119">
        <f t="shared" si="8"/>
        <v>5779038</v>
      </c>
    </row>
    <row r="79" spans="1:9" ht="15" customHeight="1" x14ac:dyDescent="0.25">
      <c r="A79" s="102" t="s">
        <v>88</v>
      </c>
    </row>
    <row r="81" spans="1:8" ht="15" customHeight="1" x14ac:dyDescent="0.25">
      <c r="A81" s="121" t="s">
        <v>89</v>
      </c>
    </row>
    <row r="82" spans="1:8" ht="15" customHeight="1" x14ac:dyDescent="0.25">
      <c r="A82" s="121" t="s">
        <v>90</v>
      </c>
      <c r="D82" s="122"/>
      <c r="E82" s="122"/>
      <c r="F82" s="122"/>
      <c r="G82" s="122"/>
      <c r="H82" s="122"/>
    </row>
  </sheetData>
  <hyperlinks>
    <hyperlink ref="A82" r:id="rId1" xr:uid="{EBC12C24-D991-4340-B637-2B7172254FD3}"/>
    <hyperlink ref="A81" r:id="rId2" xr:uid="{ED0E6285-D490-489F-8976-51523DC26653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FF4-4CF2-476F-B266-2B087A609FA2}">
  <sheetPr codeName="Planilha13">
    <tabColor theme="9" tint="0.59999389629810485"/>
  </sheetPr>
  <dimension ref="A2:S72"/>
  <sheetViews>
    <sheetView workbookViewId="0">
      <selection activeCell="A2" sqref="A2:XFD2"/>
    </sheetView>
  </sheetViews>
  <sheetFormatPr defaultColWidth="10.28515625" defaultRowHeight="12.75" x14ac:dyDescent="0.25"/>
  <cols>
    <col min="1" max="3" width="1.7109375" style="1" customWidth="1"/>
    <col min="4" max="4" width="43.42578125" style="1" customWidth="1"/>
    <col min="5" max="6" width="13.42578125" style="1" hidden="1" customWidth="1"/>
    <col min="7" max="7" width="13.42578125" style="1" customWidth="1"/>
    <col min="8" max="9" width="12" style="1" bestFit="1" customWidth="1"/>
    <col min="10" max="10" width="12.85546875" style="1" bestFit="1" customWidth="1"/>
    <col min="11" max="11" width="12.85546875" style="1" customWidth="1"/>
    <col min="12" max="12" width="10.28515625" style="1"/>
    <col min="13" max="17" width="10.85546875" style="1" bestFit="1" customWidth="1"/>
    <col min="18" max="16384" width="10.28515625" style="1"/>
  </cols>
  <sheetData>
    <row r="2" spans="1:19" s="125" customFormat="1" ht="15" x14ac:dyDescent="0.25">
      <c r="A2" s="99" t="s">
        <v>91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9" s="127" customFormat="1" ht="11.45" customHeight="1" x14ac:dyDescent="0.2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9" s="127" customFormat="1" ht="15" customHeight="1" x14ac:dyDescent="0.25">
      <c r="A4" s="576" t="s">
        <v>35</v>
      </c>
      <c r="B4" s="576"/>
      <c r="C4" s="576"/>
      <c r="D4" s="576"/>
      <c r="E4" s="107">
        <v>2014</v>
      </c>
      <c r="F4" s="107">
        <v>2015</v>
      </c>
      <c r="G4" s="107">
        <v>2016</v>
      </c>
      <c r="H4" s="107">
        <v>2017</v>
      </c>
      <c r="I4" s="107">
        <v>2018</v>
      </c>
      <c r="J4" s="107">
        <v>2019</v>
      </c>
      <c r="K4" s="107">
        <v>2020</v>
      </c>
    </row>
    <row r="5" spans="1:19" s="116" customFormat="1" ht="21" customHeight="1" x14ac:dyDescent="0.25">
      <c r="A5" s="112"/>
      <c r="B5" s="112"/>
      <c r="C5" s="112"/>
      <c r="D5" s="112"/>
      <c r="E5" s="112"/>
      <c r="F5" s="114"/>
      <c r="G5" s="114"/>
      <c r="H5" s="114"/>
      <c r="I5" s="114"/>
      <c r="J5" s="114"/>
    </row>
    <row r="6" spans="1:19" s="127" customFormat="1" x14ac:dyDescent="0.25">
      <c r="A6" s="128" t="s">
        <v>92</v>
      </c>
      <c r="B6" s="128"/>
      <c r="C6" s="128"/>
      <c r="D6" s="128"/>
      <c r="E6" s="129">
        <f t="shared" ref="E6:K6" si="0">+SUM(E7:E10)</f>
        <v>1374497</v>
      </c>
      <c r="F6" s="129">
        <f t="shared" si="0"/>
        <v>1586314</v>
      </c>
      <c r="G6" s="129">
        <f t="shared" si="0"/>
        <v>1988993</v>
      </c>
      <c r="H6" s="129">
        <f t="shared" si="0"/>
        <v>2150981.7999999998</v>
      </c>
      <c r="I6" s="129">
        <f t="shared" si="0"/>
        <v>2244708</v>
      </c>
      <c r="J6" s="129">
        <f t="shared" si="0"/>
        <v>2466101</v>
      </c>
      <c r="K6" s="129">
        <f t="shared" si="0"/>
        <v>2605274</v>
      </c>
      <c r="M6" s="130"/>
    </row>
    <row r="7" spans="1:19" s="116" customFormat="1" ht="14.25" customHeight="1" x14ac:dyDescent="0.25">
      <c r="A7" s="577" t="s">
        <v>93</v>
      </c>
      <c r="B7" s="577"/>
      <c r="C7" s="577"/>
      <c r="D7" s="577"/>
      <c r="E7" s="113">
        <v>837096</v>
      </c>
      <c r="F7" s="113">
        <v>939067</v>
      </c>
      <c r="G7" s="113">
        <v>1162717</v>
      </c>
      <c r="H7" s="113">
        <v>1250463.3999999999</v>
      </c>
      <c r="I7" s="113">
        <v>1282955</v>
      </c>
      <c r="J7" s="113">
        <v>1388453</v>
      </c>
      <c r="K7" s="113">
        <v>1477546</v>
      </c>
      <c r="M7" s="131"/>
      <c r="N7" s="131"/>
      <c r="O7" s="131"/>
      <c r="P7" s="131"/>
      <c r="Q7" s="131"/>
      <c r="R7" s="131"/>
      <c r="S7" s="131"/>
    </row>
    <row r="8" spans="1:19" s="116" customFormat="1" ht="14.25" customHeight="1" x14ac:dyDescent="0.25">
      <c r="A8" s="577" t="s">
        <v>94</v>
      </c>
      <c r="B8" s="577"/>
      <c r="C8" s="577"/>
      <c r="D8" s="577"/>
      <c r="E8" s="113">
        <v>364294</v>
      </c>
      <c r="F8" s="113">
        <v>431204</v>
      </c>
      <c r="G8" s="113">
        <v>551597</v>
      </c>
      <c r="H8" s="113">
        <v>602578.4</v>
      </c>
      <c r="I8" s="113">
        <v>631801</v>
      </c>
      <c r="J8" s="113">
        <v>737144</v>
      </c>
      <c r="K8" s="113">
        <v>760896</v>
      </c>
      <c r="M8" s="130"/>
    </row>
    <row r="9" spans="1:19" s="132" customFormat="1" ht="14.25" customHeight="1" x14ac:dyDescent="0.25">
      <c r="A9" s="577" t="s">
        <v>95</v>
      </c>
      <c r="B9" s="577"/>
      <c r="C9" s="577"/>
      <c r="D9" s="577"/>
      <c r="E9" s="113">
        <v>170146</v>
      </c>
      <c r="F9" s="113">
        <v>205618</v>
      </c>
      <c r="G9" s="113">
        <v>267278</v>
      </c>
      <c r="H9" s="113">
        <v>296173</v>
      </c>
      <c r="I9" s="113">
        <v>317891</v>
      </c>
      <c r="J9" s="113">
        <v>341223</v>
      </c>
      <c r="K9" s="113">
        <v>359689</v>
      </c>
      <c r="M9" s="130"/>
    </row>
    <row r="10" spans="1:19" s="116" customFormat="1" ht="14.25" customHeight="1" x14ac:dyDescent="0.25">
      <c r="A10" s="577" t="s">
        <v>96</v>
      </c>
      <c r="B10" s="577"/>
      <c r="C10" s="577"/>
      <c r="D10" s="577"/>
      <c r="E10" s="113">
        <v>2961</v>
      </c>
      <c r="F10" s="113">
        <v>10425</v>
      </c>
      <c r="G10" s="113">
        <v>7401</v>
      </c>
      <c r="H10" s="113">
        <v>1767</v>
      </c>
      <c r="I10" s="113">
        <v>12061</v>
      </c>
      <c r="J10" s="113">
        <v>-719</v>
      </c>
      <c r="K10" s="113">
        <v>7143</v>
      </c>
      <c r="M10" s="130"/>
    </row>
    <row r="11" spans="1:19" s="116" customFormat="1" ht="14.25" customHeight="1" x14ac:dyDescent="0.25">
      <c r="A11" s="575" t="s">
        <v>97</v>
      </c>
      <c r="B11" s="575"/>
      <c r="C11" s="575"/>
      <c r="D11" s="575"/>
      <c r="E11" s="133">
        <v>-102171</v>
      </c>
      <c r="F11" s="133">
        <v>-115390</v>
      </c>
      <c r="G11" s="133">
        <v>-156271</v>
      </c>
      <c r="H11" s="133">
        <v>-166544</v>
      </c>
      <c r="I11" s="133">
        <v>-175654</v>
      </c>
      <c r="J11" s="133">
        <v>-230786</v>
      </c>
      <c r="K11" s="133">
        <v>-244374</v>
      </c>
    </row>
    <row r="12" spans="1:19" s="116" customFormat="1" ht="14.25" customHeight="1" x14ac:dyDescent="0.25">
      <c r="A12" s="575" t="s">
        <v>98</v>
      </c>
      <c r="B12" s="575"/>
      <c r="C12" s="575"/>
      <c r="D12" s="575"/>
      <c r="E12" s="134">
        <f t="shared" ref="E12:K12" si="1">-E11/E6</f>
        <v>7.4333374318023254E-2</v>
      </c>
      <c r="F12" s="134">
        <f t="shared" si="1"/>
        <v>7.2740957969229289E-2</v>
      </c>
      <c r="G12" s="134">
        <f t="shared" si="1"/>
        <v>7.8567898429004024E-2</v>
      </c>
      <c r="H12" s="134">
        <f t="shared" si="1"/>
        <v>7.74269684662139E-2</v>
      </c>
      <c r="I12" s="134">
        <f t="shared" si="1"/>
        <v>7.8252494311064069E-2</v>
      </c>
      <c r="J12" s="134">
        <f t="shared" si="1"/>
        <v>9.3583352831047878E-2</v>
      </c>
      <c r="K12" s="134">
        <f t="shared" si="1"/>
        <v>9.3799730853645333E-2</v>
      </c>
    </row>
    <row r="13" spans="1:19" s="116" customFormat="1" ht="21.75" customHeight="1" x14ac:dyDescent="0.25">
      <c r="A13" s="112"/>
      <c r="B13" s="112"/>
      <c r="C13" s="112"/>
      <c r="D13" s="112"/>
      <c r="E13" s="114"/>
      <c r="F13" s="114"/>
      <c r="G13" s="114"/>
      <c r="H13" s="114"/>
      <c r="I13" s="114"/>
      <c r="J13" s="114"/>
      <c r="K13" s="114"/>
    </row>
    <row r="14" spans="1:19" s="127" customFormat="1" x14ac:dyDescent="0.25">
      <c r="A14" s="578" t="s">
        <v>99</v>
      </c>
      <c r="B14" s="578"/>
      <c r="C14" s="578"/>
      <c r="D14" s="578"/>
      <c r="E14" s="129">
        <f t="shared" ref="E14:K14" si="2">ROUND(E6+E11,0)</f>
        <v>1272326</v>
      </c>
      <c r="F14" s="129">
        <f t="shared" si="2"/>
        <v>1470924</v>
      </c>
      <c r="G14" s="129">
        <f t="shared" si="2"/>
        <v>1832722</v>
      </c>
      <c r="H14" s="129">
        <f t="shared" si="2"/>
        <v>1984438</v>
      </c>
      <c r="I14" s="129">
        <f t="shared" si="2"/>
        <v>2069054</v>
      </c>
      <c r="J14" s="129">
        <f t="shared" si="2"/>
        <v>2235315</v>
      </c>
      <c r="K14" s="129">
        <f t="shared" si="2"/>
        <v>2360900</v>
      </c>
    </row>
    <row r="15" spans="1:19" s="116" customFormat="1" ht="12.75" customHeight="1" x14ac:dyDescent="0.25">
      <c r="A15" s="577" t="s">
        <v>100</v>
      </c>
      <c r="B15" s="577"/>
      <c r="C15" s="577"/>
      <c r="D15" s="577"/>
      <c r="E15" s="135">
        <v>452</v>
      </c>
      <c r="F15" s="135">
        <v>622</v>
      </c>
      <c r="G15" s="135">
        <v>1384</v>
      </c>
      <c r="H15" s="135">
        <v>1445</v>
      </c>
      <c r="I15" s="135">
        <v>2563</v>
      </c>
      <c r="J15" s="135">
        <v>2167</v>
      </c>
      <c r="K15" s="135">
        <v>1763</v>
      </c>
    </row>
    <row r="16" spans="1:19" s="116" customFormat="1" ht="12.75" customHeight="1" x14ac:dyDescent="0.25">
      <c r="A16" s="577" t="s">
        <v>101</v>
      </c>
      <c r="B16" s="577"/>
      <c r="C16" s="577"/>
      <c r="D16" s="577"/>
      <c r="E16" s="135">
        <v>12891</v>
      </c>
      <c r="F16" s="135">
        <v>9100</v>
      </c>
      <c r="G16" s="135">
        <v>9100</v>
      </c>
      <c r="H16" s="135">
        <v>9100</v>
      </c>
      <c r="I16" s="135">
        <v>9100</v>
      </c>
      <c r="J16" s="135">
        <v>9100</v>
      </c>
      <c r="K16" s="135">
        <v>9100</v>
      </c>
    </row>
    <row r="17" spans="1:17" s="116" customFormat="1" ht="12.75" customHeight="1" x14ac:dyDescent="0.25">
      <c r="A17" s="578" t="s">
        <v>102</v>
      </c>
      <c r="B17" s="578"/>
      <c r="C17" s="578"/>
      <c r="D17" s="578"/>
      <c r="E17" s="129">
        <f t="shared" ref="E17:K17" si="3">E14+E15+E16</f>
        <v>1285669</v>
      </c>
      <c r="F17" s="129">
        <f t="shared" si="3"/>
        <v>1480646</v>
      </c>
      <c r="G17" s="129">
        <f t="shared" si="3"/>
        <v>1843206</v>
      </c>
      <c r="H17" s="129">
        <f t="shared" si="3"/>
        <v>1994983</v>
      </c>
      <c r="I17" s="129">
        <f t="shared" si="3"/>
        <v>2080717</v>
      </c>
      <c r="J17" s="129">
        <f t="shared" si="3"/>
        <v>2246582</v>
      </c>
      <c r="K17" s="129">
        <f t="shared" si="3"/>
        <v>2371763</v>
      </c>
    </row>
    <row r="18" spans="1:17" s="21" customFormat="1" ht="12.75" customHeight="1" x14ac:dyDescent="0.25">
      <c r="A18" s="136" t="s">
        <v>103</v>
      </c>
      <c r="B18" s="136"/>
      <c r="C18" s="136"/>
      <c r="D18" s="136"/>
      <c r="E18" s="137">
        <f t="shared" ref="E18:K18" si="4">SUM(E19:E23)</f>
        <v>-560349</v>
      </c>
      <c r="F18" s="137">
        <f t="shared" si="4"/>
        <v>-636483</v>
      </c>
      <c r="G18" s="137">
        <f t="shared" si="4"/>
        <v>-696569</v>
      </c>
      <c r="H18" s="137">
        <f t="shared" si="4"/>
        <v>-855093</v>
      </c>
      <c r="I18" s="137">
        <f t="shared" si="4"/>
        <v>-865238</v>
      </c>
      <c r="J18" s="137">
        <f t="shared" si="4"/>
        <v>-946763</v>
      </c>
      <c r="K18" s="137">
        <f t="shared" si="4"/>
        <v>-966044</v>
      </c>
    </row>
    <row r="19" spans="1:17" ht="12.75" customHeight="1" x14ac:dyDescent="0.25">
      <c r="A19" s="108"/>
      <c r="B19" s="108" t="s">
        <v>104</v>
      </c>
      <c r="C19" s="108"/>
      <c r="D19" s="108"/>
      <c r="E19" s="138">
        <v>-270788</v>
      </c>
      <c r="F19" s="138">
        <v>-286230</v>
      </c>
      <c r="G19" s="138">
        <v>-306665</v>
      </c>
      <c r="H19" s="138">
        <v>-443377</v>
      </c>
      <c r="I19" s="138">
        <v>-476231</v>
      </c>
      <c r="J19" s="138">
        <v>-574942</v>
      </c>
      <c r="K19" s="138">
        <v>-591611</v>
      </c>
      <c r="M19" s="130"/>
      <c r="N19" s="130"/>
      <c r="O19" s="130"/>
      <c r="P19" s="130"/>
      <c r="Q19" s="130"/>
    </row>
    <row r="20" spans="1:17" ht="12.75" customHeight="1" x14ac:dyDescent="0.25">
      <c r="A20" s="108"/>
      <c r="B20" s="108" t="s">
        <v>105</v>
      </c>
      <c r="C20" s="108"/>
      <c r="D20" s="108"/>
      <c r="E20" s="138">
        <v>-60554</v>
      </c>
      <c r="F20" s="138">
        <v>-64437</v>
      </c>
      <c r="G20" s="138">
        <v>-72691</v>
      </c>
      <c r="H20" s="138">
        <v>-78540</v>
      </c>
      <c r="I20" s="138">
        <v>-68591</v>
      </c>
      <c r="J20" s="138">
        <v>-72383</v>
      </c>
      <c r="K20" s="138">
        <v>-81903</v>
      </c>
      <c r="M20" s="130"/>
      <c r="N20" s="130"/>
      <c r="O20" s="130"/>
      <c r="P20" s="130"/>
      <c r="Q20" s="130"/>
    </row>
    <row r="21" spans="1:17" ht="12.75" customHeight="1" x14ac:dyDescent="0.25">
      <c r="A21" s="108"/>
      <c r="B21" s="108" t="s">
        <v>106</v>
      </c>
      <c r="C21" s="108"/>
      <c r="D21" s="108"/>
      <c r="E21" s="138">
        <v>-115624</v>
      </c>
      <c r="F21" s="138">
        <v>-181565</v>
      </c>
      <c r="G21" s="138">
        <v>-199658</v>
      </c>
      <c r="H21" s="138">
        <v>-190367</v>
      </c>
      <c r="I21" s="138">
        <v>-217693</v>
      </c>
      <c r="J21" s="138">
        <v>-221339</v>
      </c>
      <c r="K21" s="138">
        <v>-212816</v>
      </c>
    </row>
    <row r="22" spans="1:17" ht="12.75" customHeight="1" x14ac:dyDescent="0.25">
      <c r="A22" s="108"/>
      <c r="B22" s="108" t="s">
        <v>107</v>
      </c>
      <c r="C22" s="108"/>
      <c r="D22" s="108"/>
      <c r="E22" s="138">
        <v>-97259</v>
      </c>
      <c r="F22" s="138">
        <v>-89009</v>
      </c>
      <c r="G22" s="138">
        <v>-103558</v>
      </c>
      <c r="H22" s="138">
        <v>-123568</v>
      </c>
      <c r="I22" s="138">
        <v>-101561</v>
      </c>
      <c r="J22" s="138">
        <v>-72566</v>
      </c>
      <c r="K22" s="138">
        <v>-73670</v>
      </c>
      <c r="M22" s="130"/>
      <c r="N22" s="130"/>
      <c r="O22" s="130"/>
      <c r="P22" s="130"/>
      <c r="Q22" s="130"/>
    </row>
    <row r="23" spans="1:17" ht="12.75" customHeight="1" x14ac:dyDescent="0.25">
      <c r="A23" s="108"/>
      <c r="B23" s="108" t="s">
        <v>108</v>
      </c>
      <c r="C23" s="108"/>
      <c r="D23" s="108"/>
      <c r="E23" s="138">
        <v>-16124</v>
      </c>
      <c r="F23" s="138">
        <v>-15242</v>
      </c>
      <c r="G23" s="138">
        <v>-13997</v>
      </c>
      <c r="H23" s="138">
        <v>-19241</v>
      </c>
      <c r="I23" s="138">
        <v>-1162</v>
      </c>
      <c r="J23" s="138">
        <v>-5533</v>
      </c>
      <c r="K23" s="138">
        <v>-6044</v>
      </c>
      <c r="M23" s="130"/>
      <c r="N23" s="130"/>
      <c r="O23" s="130"/>
      <c r="P23" s="130"/>
      <c r="Q23" s="130"/>
    </row>
    <row r="24" spans="1:17" s="116" customFormat="1" ht="5.25" customHeight="1" x14ac:dyDescent="0.25">
      <c r="A24" s="112"/>
      <c r="B24" s="112"/>
      <c r="C24" s="112"/>
      <c r="D24" s="112"/>
      <c r="E24" s="114"/>
      <c r="F24" s="114"/>
      <c r="G24" s="114"/>
      <c r="H24" s="114"/>
      <c r="I24" s="114"/>
      <c r="J24" s="114"/>
      <c r="K24" s="114"/>
    </row>
    <row r="25" spans="1:17" s="116" customFormat="1" ht="12.75" customHeight="1" x14ac:dyDescent="0.25">
      <c r="A25" s="128" t="s">
        <v>109</v>
      </c>
      <c r="B25" s="139"/>
      <c r="C25" s="139"/>
      <c r="D25" s="139"/>
      <c r="E25" s="129">
        <f t="shared" ref="E25:K25" si="5">E17+E18</f>
        <v>725320</v>
      </c>
      <c r="F25" s="129">
        <f t="shared" si="5"/>
        <v>844163</v>
      </c>
      <c r="G25" s="129">
        <f t="shared" si="5"/>
        <v>1146637</v>
      </c>
      <c r="H25" s="129">
        <f t="shared" si="5"/>
        <v>1139890</v>
      </c>
      <c r="I25" s="129">
        <f t="shared" si="5"/>
        <v>1215479</v>
      </c>
      <c r="J25" s="129">
        <f t="shared" si="5"/>
        <v>1299819</v>
      </c>
      <c r="K25" s="129">
        <f t="shared" si="5"/>
        <v>1405719</v>
      </c>
    </row>
    <row r="26" spans="1:17" s="116" customFormat="1" ht="12.75" customHeight="1" x14ac:dyDescent="0.25">
      <c r="A26" s="140"/>
      <c r="B26" s="112" t="s">
        <v>110</v>
      </c>
      <c r="C26" s="112"/>
      <c r="D26" s="112"/>
      <c r="E26" s="141">
        <f t="shared" ref="E26:K26" si="6">+E25/E17</f>
        <v>0.56415764866384743</v>
      </c>
      <c r="F26" s="141">
        <f t="shared" si="6"/>
        <v>0.57013155068801047</v>
      </c>
      <c r="G26" s="141">
        <f t="shared" si="6"/>
        <v>0.62208836125750455</v>
      </c>
      <c r="H26" s="141">
        <f t="shared" si="6"/>
        <v>0.57137830247175037</v>
      </c>
      <c r="I26" s="141">
        <f t="shared" si="6"/>
        <v>0.58416353593496861</v>
      </c>
      <c r="J26" s="141">
        <f t="shared" si="6"/>
        <v>0.57857625495085419</v>
      </c>
      <c r="K26" s="141">
        <f t="shared" si="6"/>
        <v>0.59268948878956285</v>
      </c>
    </row>
    <row r="27" spans="1:17" s="116" customFormat="1" ht="5.25" customHeight="1" x14ac:dyDescent="0.25">
      <c r="A27" s="112"/>
      <c r="B27" s="112"/>
      <c r="C27" s="112"/>
      <c r="D27" s="112"/>
      <c r="E27" s="114"/>
      <c r="F27" s="114"/>
      <c r="G27" s="114"/>
      <c r="H27" s="114"/>
      <c r="I27" s="114"/>
      <c r="J27" s="114"/>
      <c r="K27" s="114"/>
    </row>
    <row r="28" spans="1:17" s="21" customFormat="1" ht="12.75" customHeight="1" x14ac:dyDescent="0.25">
      <c r="A28" s="136" t="s">
        <v>111</v>
      </c>
      <c r="B28" s="136"/>
      <c r="C28" s="136"/>
      <c r="D28" s="136"/>
      <c r="E28" s="137">
        <f t="shared" ref="E28:K28" si="7">SUM(E29:E34)</f>
        <v>-110515</v>
      </c>
      <c r="F28" s="137">
        <f t="shared" si="7"/>
        <v>-102245.8</v>
      </c>
      <c r="G28" s="137">
        <f t="shared" si="7"/>
        <v>-133759.4</v>
      </c>
      <c r="H28" s="137">
        <f t="shared" si="7"/>
        <v>-194579</v>
      </c>
      <c r="I28" s="137">
        <f t="shared" si="7"/>
        <v>-281243</v>
      </c>
      <c r="J28" s="137">
        <f t="shared" si="7"/>
        <v>-256678</v>
      </c>
      <c r="K28" s="137">
        <f t="shared" si="7"/>
        <v>-268834</v>
      </c>
    </row>
    <row r="29" spans="1:17" ht="12.75" customHeight="1" x14ac:dyDescent="0.25">
      <c r="A29" s="108"/>
      <c r="B29" s="108" t="s">
        <v>104</v>
      </c>
      <c r="C29" s="108"/>
      <c r="D29" s="108"/>
      <c r="E29" s="138">
        <v>-33138</v>
      </c>
      <c r="F29" s="138">
        <v>-24575.4</v>
      </c>
      <c r="G29" s="138">
        <v>-39841.4</v>
      </c>
      <c r="H29" s="138">
        <v>-80378</v>
      </c>
      <c r="I29" s="138">
        <v>-143193</v>
      </c>
      <c r="J29" s="138">
        <v>-112368</v>
      </c>
      <c r="K29" s="138">
        <v>-117876</v>
      </c>
    </row>
    <row r="30" spans="1:17" ht="12.75" customHeight="1" x14ac:dyDescent="0.25">
      <c r="A30" s="108"/>
      <c r="B30" s="108" t="s">
        <v>112</v>
      </c>
      <c r="C30" s="108"/>
      <c r="D30" s="108"/>
      <c r="E30" s="138">
        <v>-565</v>
      </c>
      <c r="F30" s="138">
        <v>-551</v>
      </c>
      <c r="G30" s="138">
        <v>-461</v>
      </c>
      <c r="H30" s="138">
        <v>-352</v>
      </c>
      <c r="I30" s="138">
        <v>-1493</v>
      </c>
      <c r="J30" s="138">
        <v>-2383</v>
      </c>
      <c r="K30" s="138">
        <v>-544</v>
      </c>
    </row>
    <row r="31" spans="1:17" ht="12.75" customHeight="1" x14ac:dyDescent="0.25">
      <c r="A31" s="108"/>
      <c r="B31" s="108" t="s">
        <v>106</v>
      </c>
      <c r="C31" s="108"/>
      <c r="D31" s="108"/>
      <c r="E31" s="138">
        <v>0</v>
      </c>
      <c r="F31" s="138">
        <v>0</v>
      </c>
      <c r="G31" s="138">
        <v>0</v>
      </c>
      <c r="H31" s="138">
        <v>0</v>
      </c>
      <c r="I31" s="138">
        <v>-1158</v>
      </c>
      <c r="J31" s="138">
        <v>-197</v>
      </c>
      <c r="K31" s="138">
        <v>-9</v>
      </c>
      <c r="M31" s="142"/>
      <c r="N31" s="142"/>
    </row>
    <row r="32" spans="1:17" ht="12.75" customHeight="1" x14ac:dyDescent="0.25">
      <c r="A32" s="108"/>
      <c r="B32" s="108" t="s">
        <v>107</v>
      </c>
      <c r="C32" s="108"/>
      <c r="D32" s="108"/>
      <c r="E32" s="138">
        <v>-45974</v>
      </c>
      <c r="F32" s="138">
        <v>-37339.4</v>
      </c>
      <c r="G32" s="138">
        <v>-42901</v>
      </c>
      <c r="H32" s="138">
        <v>-58752</v>
      </c>
      <c r="I32" s="138">
        <v>-77147</v>
      </c>
      <c r="J32" s="138">
        <v>-79185</v>
      </c>
      <c r="K32" s="138">
        <v>-71788</v>
      </c>
    </row>
    <row r="33" spans="1:11" ht="12.75" customHeight="1" x14ac:dyDescent="0.25">
      <c r="A33" s="108"/>
      <c r="B33" s="108" t="s">
        <v>113</v>
      </c>
      <c r="C33" s="108"/>
      <c r="D33" s="108"/>
      <c r="E33" s="138">
        <v>-30159</v>
      </c>
      <c r="F33" s="138">
        <v>-38532</v>
      </c>
      <c r="G33" s="138">
        <v>-49051</v>
      </c>
      <c r="H33" s="138">
        <v>-51253</v>
      </c>
      <c r="I33" s="138">
        <v>-51961</v>
      </c>
      <c r="J33" s="138">
        <v>-55022</v>
      </c>
      <c r="K33" s="138">
        <v>-73757</v>
      </c>
    </row>
    <row r="34" spans="1:11" ht="12.75" customHeight="1" x14ac:dyDescent="0.25">
      <c r="A34" s="108"/>
      <c r="B34" s="108" t="s">
        <v>108</v>
      </c>
      <c r="C34" s="108"/>
      <c r="D34" s="108"/>
      <c r="E34" s="138">
        <v>-679</v>
      </c>
      <c r="F34" s="138">
        <v>-1248</v>
      </c>
      <c r="G34" s="138">
        <v>-1505</v>
      </c>
      <c r="H34" s="138">
        <v>-3844</v>
      </c>
      <c r="I34" s="138">
        <v>-6291</v>
      </c>
      <c r="J34" s="138">
        <v>-7523</v>
      </c>
      <c r="K34" s="138">
        <v>-4860</v>
      </c>
    </row>
    <row r="35" spans="1:11" s="116" customFormat="1" ht="13.5" customHeight="1" x14ac:dyDescent="0.25">
      <c r="A35" s="112"/>
      <c r="B35" s="112"/>
      <c r="C35" s="112"/>
      <c r="D35" s="112"/>
      <c r="E35" s="143"/>
      <c r="F35" s="143"/>
      <c r="G35" s="114"/>
      <c r="H35" s="114"/>
      <c r="I35" s="114"/>
      <c r="J35" s="114"/>
      <c r="K35" s="114"/>
    </row>
    <row r="36" spans="1:11" s="21" customFormat="1" ht="12.75" customHeight="1" x14ac:dyDescent="0.25">
      <c r="A36" s="136" t="s">
        <v>114</v>
      </c>
      <c r="B36" s="136"/>
      <c r="C36" s="136"/>
      <c r="D36" s="136"/>
      <c r="E36" s="137">
        <f t="shared" ref="E36:K36" si="8">SUM(E37:E42)</f>
        <v>-327401</v>
      </c>
      <c r="F36" s="137">
        <f t="shared" si="8"/>
        <v>-431085</v>
      </c>
      <c r="G36" s="137">
        <f t="shared" si="8"/>
        <v>-497259.4</v>
      </c>
      <c r="H36" s="137">
        <f t="shared" si="8"/>
        <v>-501850</v>
      </c>
      <c r="I36" s="137">
        <f t="shared" si="8"/>
        <v>-316054</v>
      </c>
      <c r="J36" s="137">
        <f t="shared" si="8"/>
        <v>-375611</v>
      </c>
      <c r="K36" s="137">
        <f t="shared" si="8"/>
        <v>-369768</v>
      </c>
    </row>
    <row r="37" spans="1:11" ht="12.75" customHeight="1" x14ac:dyDescent="0.25">
      <c r="A37" s="108"/>
      <c r="B37" s="108" t="s">
        <v>104</v>
      </c>
      <c r="C37" s="108"/>
      <c r="D37" s="108"/>
      <c r="E37" s="138">
        <v>-235344</v>
      </c>
      <c r="F37" s="138">
        <v>-318680</v>
      </c>
      <c r="G37" s="138">
        <v>-416515.4</v>
      </c>
      <c r="H37" s="138">
        <v>-425610</v>
      </c>
      <c r="I37" s="138">
        <v>-261747</v>
      </c>
      <c r="J37" s="138">
        <v>-315546</v>
      </c>
      <c r="K37" s="138">
        <v>-315558</v>
      </c>
    </row>
    <row r="38" spans="1:11" ht="12.75" customHeight="1" x14ac:dyDescent="0.25">
      <c r="A38" s="108"/>
      <c r="B38" s="108" t="s">
        <v>112</v>
      </c>
      <c r="C38" s="108"/>
      <c r="D38" s="108"/>
      <c r="E38" s="138">
        <v>-9059</v>
      </c>
      <c r="F38" s="138">
        <v>-8018</v>
      </c>
      <c r="G38" s="138">
        <v>-7598</v>
      </c>
      <c r="H38" s="138">
        <v>-4710</v>
      </c>
      <c r="I38" s="138">
        <v>-6375</v>
      </c>
      <c r="J38" s="138">
        <v>-5583</v>
      </c>
      <c r="K38" s="138">
        <v>-4149</v>
      </c>
    </row>
    <row r="39" spans="1:11" ht="12.75" customHeight="1" x14ac:dyDescent="0.25">
      <c r="A39" s="108"/>
      <c r="B39" s="108" t="s">
        <v>106</v>
      </c>
      <c r="C39" s="108"/>
      <c r="D39" s="108"/>
      <c r="E39" s="138">
        <v>0</v>
      </c>
      <c r="F39" s="138">
        <v>0</v>
      </c>
      <c r="G39" s="138">
        <v>0</v>
      </c>
      <c r="H39" s="138">
        <v>0</v>
      </c>
      <c r="I39" s="138">
        <v>-1815</v>
      </c>
      <c r="J39" s="138">
        <v>-3039</v>
      </c>
      <c r="K39" s="138">
        <v>-2427</v>
      </c>
    </row>
    <row r="40" spans="1:11" ht="12.75" customHeight="1" x14ac:dyDescent="0.25">
      <c r="A40" s="108"/>
      <c r="B40" s="108" t="s">
        <v>107</v>
      </c>
      <c r="C40" s="108"/>
      <c r="D40" s="108"/>
      <c r="E40" s="138">
        <v>-68269</v>
      </c>
      <c r="F40" s="138">
        <v>-95993</v>
      </c>
      <c r="G40" s="138">
        <v>-70279</v>
      </c>
      <c r="H40" s="138">
        <v>-63901</v>
      </c>
      <c r="I40" s="138">
        <v>-36169</v>
      </c>
      <c r="J40" s="138">
        <v>-40464</v>
      </c>
      <c r="K40" s="138">
        <v>-36505</v>
      </c>
    </row>
    <row r="41" spans="1:11" ht="12.75" customHeight="1" x14ac:dyDescent="0.25">
      <c r="A41" s="108"/>
      <c r="B41" s="108" t="s">
        <v>113</v>
      </c>
      <c r="C41" s="108"/>
      <c r="D41" s="108"/>
      <c r="E41" s="138">
        <v>-4259</v>
      </c>
      <c r="F41" s="138">
        <v>-3729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</row>
    <row r="42" spans="1:11" ht="12.75" customHeight="1" x14ac:dyDescent="0.25">
      <c r="A42" s="108"/>
      <c r="B42" s="108" t="s">
        <v>108</v>
      </c>
      <c r="C42" s="108"/>
      <c r="D42" s="108"/>
      <c r="E42" s="138">
        <v>-10470</v>
      </c>
      <c r="F42" s="138">
        <v>-4665</v>
      </c>
      <c r="G42" s="138">
        <v>-2867</v>
      </c>
      <c r="H42" s="138">
        <v>-7629</v>
      </c>
      <c r="I42" s="138">
        <v>-9948</v>
      </c>
      <c r="J42" s="138">
        <v>-10979</v>
      </c>
      <c r="K42" s="138">
        <v>-11129</v>
      </c>
    </row>
    <row r="43" spans="1:11" ht="12.75" customHeight="1" x14ac:dyDescent="0.25">
      <c r="A43" s="108"/>
      <c r="B43" s="108"/>
      <c r="C43" s="108"/>
      <c r="D43" s="108"/>
      <c r="E43" s="138"/>
      <c r="F43" s="138"/>
      <c r="G43" s="138"/>
      <c r="H43" s="138"/>
      <c r="I43" s="138"/>
      <c r="J43" s="138"/>
      <c r="K43" s="138"/>
    </row>
    <row r="44" spans="1:11" ht="12.75" customHeight="1" x14ac:dyDescent="0.25">
      <c r="A44" s="136" t="s">
        <v>115</v>
      </c>
      <c r="B44" s="136"/>
      <c r="C44" s="136"/>
      <c r="D44" s="136"/>
      <c r="E44" s="137">
        <v>91</v>
      </c>
      <c r="F44" s="137">
        <v>-6967</v>
      </c>
      <c r="G44" s="137">
        <v>-5430</v>
      </c>
      <c r="H44" s="137">
        <v>-4671</v>
      </c>
      <c r="I44" s="137">
        <v>-7961</v>
      </c>
      <c r="J44" s="137">
        <v>-25280</v>
      </c>
      <c r="K44" s="137">
        <v>-38189</v>
      </c>
    </row>
    <row r="45" spans="1:11" ht="12.75" customHeight="1" x14ac:dyDescent="0.25">
      <c r="A45" s="108"/>
      <c r="B45" s="108"/>
      <c r="C45" s="108"/>
      <c r="D45" s="108"/>
      <c r="E45" s="138"/>
      <c r="F45" s="138"/>
      <c r="G45" s="138"/>
      <c r="H45" s="138"/>
      <c r="I45" s="138"/>
      <c r="J45" s="138"/>
      <c r="K45" s="138"/>
    </row>
    <row r="46" spans="1:11" ht="12.75" customHeight="1" x14ac:dyDescent="0.25">
      <c r="A46" s="136" t="s">
        <v>116</v>
      </c>
      <c r="B46" s="112"/>
      <c r="C46" s="108"/>
      <c r="D46" s="108"/>
      <c r="E46" s="137">
        <v>-10812</v>
      </c>
      <c r="F46" s="137">
        <v>-5824</v>
      </c>
      <c r="G46" s="137">
        <v>-12411</v>
      </c>
      <c r="H46" s="137">
        <v>-11559</v>
      </c>
      <c r="I46" s="137">
        <v>-11525</v>
      </c>
      <c r="J46" s="137">
        <v>-14950</v>
      </c>
      <c r="K46" s="137">
        <v>-15695</v>
      </c>
    </row>
    <row r="47" spans="1:11" ht="12.75" customHeight="1" x14ac:dyDescent="0.25">
      <c r="A47" s="108"/>
      <c r="B47" s="108"/>
      <c r="C47" s="108"/>
      <c r="D47" s="108"/>
      <c r="E47" s="138"/>
      <c r="F47" s="138"/>
      <c r="G47" s="138"/>
      <c r="H47" s="138"/>
      <c r="I47" s="138"/>
      <c r="J47" s="138"/>
      <c r="K47" s="138"/>
    </row>
    <row r="48" spans="1:11" ht="12.75" customHeight="1" x14ac:dyDescent="0.25">
      <c r="A48" s="136" t="s">
        <v>117</v>
      </c>
      <c r="B48" s="136"/>
      <c r="C48" s="108"/>
      <c r="D48" s="108"/>
      <c r="E48" s="144">
        <f t="shared" ref="E48:K48" si="9">SUM(E49:E50)</f>
        <v>-72547</v>
      </c>
      <c r="F48" s="144">
        <f t="shared" si="9"/>
        <v>-95343</v>
      </c>
      <c r="G48" s="144">
        <f t="shared" si="9"/>
        <v>-133358</v>
      </c>
      <c r="H48" s="144">
        <f t="shared" si="9"/>
        <v>-106402</v>
      </c>
      <c r="I48" s="144">
        <f t="shared" si="9"/>
        <v>-108683</v>
      </c>
      <c r="J48" s="144">
        <f t="shared" si="9"/>
        <v>-53481</v>
      </c>
      <c r="K48" s="144">
        <f t="shared" si="9"/>
        <v>-62663</v>
      </c>
    </row>
    <row r="49" spans="1:16" ht="12.75" customHeight="1" x14ac:dyDescent="0.25">
      <c r="A49" s="136"/>
      <c r="B49" s="108" t="s">
        <v>118</v>
      </c>
      <c r="C49" s="108"/>
      <c r="D49" s="108"/>
      <c r="E49" s="138">
        <v>-16076</v>
      </c>
      <c r="F49" s="138">
        <v>-50647</v>
      </c>
      <c r="G49" s="138">
        <v>-106515</v>
      </c>
      <c r="H49" s="138">
        <v>-28471</v>
      </c>
      <c r="I49" s="138">
        <v>-39260</v>
      </c>
      <c r="J49" s="138">
        <v>-22883</v>
      </c>
      <c r="K49" s="138">
        <v>-73229</v>
      </c>
      <c r="L49" s="145"/>
      <c r="M49" s="145"/>
      <c r="N49" s="145"/>
      <c r="O49" s="145"/>
      <c r="P49" s="145"/>
    </row>
    <row r="50" spans="1:16" ht="12.75" customHeight="1" x14ac:dyDescent="0.25">
      <c r="A50" s="136"/>
      <c r="B50" s="108" t="s">
        <v>119</v>
      </c>
      <c r="C50" s="108"/>
      <c r="D50" s="108"/>
      <c r="E50" s="138">
        <v>-56471</v>
      </c>
      <c r="F50" s="138">
        <v>-44696</v>
      </c>
      <c r="G50" s="138">
        <v>-26843</v>
      </c>
      <c r="H50" s="138">
        <v>-77931</v>
      </c>
      <c r="I50" s="138">
        <v>-69423</v>
      </c>
      <c r="J50" s="138">
        <v>-30598</v>
      </c>
      <c r="K50" s="138">
        <v>10566</v>
      </c>
    </row>
    <row r="51" spans="1:16" ht="12.75" customHeight="1" x14ac:dyDescent="0.25">
      <c r="A51" s="112"/>
      <c r="B51" s="112"/>
      <c r="C51" s="112"/>
      <c r="D51" s="112"/>
      <c r="E51" s="114"/>
      <c r="F51" s="114"/>
      <c r="G51" s="114"/>
      <c r="H51" s="114"/>
      <c r="I51" s="115"/>
      <c r="J51" s="115"/>
      <c r="K51" s="115"/>
    </row>
    <row r="52" spans="1:16" x14ac:dyDescent="0.25">
      <c r="A52" s="128" t="s">
        <v>120</v>
      </c>
      <c r="B52" s="139"/>
      <c r="C52" s="139"/>
      <c r="D52" s="139"/>
      <c r="E52" s="146">
        <f t="shared" ref="E52:K52" si="10">E25+E28+E36+E44+E46+E48</f>
        <v>204136</v>
      </c>
      <c r="F52" s="146">
        <f t="shared" si="10"/>
        <v>202698.19999999995</v>
      </c>
      <c r="G52" s="146">
        <f t="shared" si="10"/>
        <v>364419.19999999995</v>
      </c>
      <c r="H52" s="146">
        <f t="shared" si="10"/>
        <v>320829</v>
      </c>
      <c r="I52" s="146">
        <f t="shared" si="10"/>
        <v>490013</v>
      </c>
      <c r="J52" s="146">
        <f t="shared" si="10"/>
        <v>573819</v>
      </c>
      <c r="K52" s="146">
        <f t="shared" si="10"/>
        <v>650570</v>
      </c>
    </row>
    <row r="53" spans="1:16" x14ac:dyDescent="0.25">
      <c r="A53" s="112" t="s">
        <v>121</v>
      </c>
      <c r="B53" s="112"/>
      <c r="C53" s="112"/>
      <c r="D53" s="112"/>
      <c r="E53" s="147">
        <f t="shared" ref="E53:K53" si="11">E52/E14</f>
        <v>0.16044315686388552</v>
      </c>
      <c r="F53" s="147">
        <f t="shared" si="11"/>
        <v>0.13780331274763344</v>
      </c>
      <c r="G53" s="147">
        <f t="shared" si="11"/>
        <v>0.19884041333055419</v>
      </c>
      <c r="H53" s="147">
        <f t="shared" si="11"/>
        <v>0.16167247351643135</v>
      </c>
      <c r="I53" s="147">
        <f t="shared" si="11"/>
        <v>0.23682948825888547</v>
      </c>
      <c r="J53" s="147">
        <f t="shared" si="11"/>
        <v>0.25670610182457504</v>
      </c>
      <c r="K53" s="147">
        <f t="shared" si="11"/>
        <v>0.27556016773264436</v>
      </c>
    </row>
    <row r="54" spans="1:16" x14ac:dyDescent="0.25">
      <c r="A54" s="112"/>
      <c r="B54" s="112"/>
      <c r="C54" s="112"/>
      <c r="D54" s="112"/>
      <c r="E54" s="147"/>
      <c r="F54" s="147"/>
      <c r="G54" s="147"/>
      <c r="H54" s="147"/>
      <c r="I54" s="147"/>
      <c r="J54" s="147"/>
      <c r="K54" s="147"/>
    </row>
    <row r="55" spans="1:16" ht="12.75" customHeight="1" x14ac:dyDescent="0.25">
      <c r="A55" s="136" t="s">
        <v>122</v>
      </c>
      <c r="C55" s="108"/>
      <c r="D55" s="108"/>
      <c r="E55" s="138">
        <v>-184764</v>
      </c>
      <c r="F55" s="138">
        <v>-193492</v>
      </c>
      <c r="G55" s="138">
        <v>-201142</v>
      </c>
      <c r="H55" s="138">
        <v>-186094</v>
      </c>
      <c r="I55" s="138">
        <v>-226320</v>
      </c>
      <c r="J55" s="138">
        <v>-111152</v>
      </c>
      <c r="K55" s="138">
        <v>-118162</v>
      </c>
    </row>
    <row r="56" spans="1:16" ht="12.75" customHeight="1" x14ac:dyDescent="0.25">
      <c r="A56" s="108"/>
      <c r="B56" s="108"/>
      <c r="C56" s="108"/>
      <c r="D56" s="108"/>
      <c r="E56" s="138"/>
      <c r="F56" s="138"/>
      <c r="G56" s="138"/>
      <c r="H56" s="138"/>
      <c r="I56" s="138"/>
      <c r="J56" s="138"/>
      <c r="K56" s="138"/>
    </row>
    <row r="57" spans="1:16" x14ac:dyDescent="0.25">
      <c r="A57" s="128" t="s">
        <v>123</v>
      </c>
      <c r="B57" s="139"/>
      <c r="C57" s="139"/>
      <c r="D57" s="139"/>
      <c r="E57" s="146">
        <f t="shared" ref="E57:K57" si="12">E52+E55</f>
        <v>19372</v>
      </c>
      <c r="F57" s="146">
        <f t="shared" si="12"/>
        <v>9206.1999999999534</v>
      </c>
      <c r="G57" s="146">
        <f t="shared" si="12"/>
        <v>163277.19999999995</v>
      </c>
      <c r="H57" s="146">
        <f t="shared" si="12"/>
        <v>134735</v>
      </c>
      <c r="I57" s="146">
        <f t="shared" si="12"/>
        <v>263693</v>
      </c>
      <c r="J57" s="146">
        <f t="shared" si="12"/>
        <v>462667</v>
      </c>
      <c r="K57" s="146">
        <f t="shared" si="12"/>
        <v>532408</v>
      </c>
    </row>
    <row r="58" spans="1:16" x14ac:dyDescent="0.25">
      <c r="A58" s="112" t="s">
        <v>124</v>
      </c>
      <c r="B58" s="112"/>
      <c r="C58" s="112"/>
      <c r="D58" s="112"/>
      <c r="E58" s="147">
        <f t="shared" ref="E58:K58" si="13">E57/E14</f>
        <v>1.5225657575181203E-2</v>
      </c>
      <c r="F58" s="147">
        <f t="shared" si="13"/>
        <v>6.2587869937535548E-3</v>
      </c>
      <c r="G58" s="147">
        <f t="shared" si="13"/>
        <v>8.9089998374003235E-2</v>
      </c>
      <c r="H58" s="147">
        <f t="shared" si="13"/>
        <v>6.7895797197997626E-2</v>
      </c>
      <c r="I58" s="147">
        <f t="shared" si="13"/>
        <v>0.12744616621895805</v>
      </c>
      <c r="J58" s="147">
        <f t="shared" si="13"/>
        <v>0.2069806716279361</v>
      </c>
      <c r="K58" s="147">
        <f t="shared" si="13"/>
        <v>0.22551061036045575</v>
      </c>
    </row>
    <row r="59" spans="1:16" x14ac:dyDescent="0.25">
      <c r="H59" s="148"/>
      <c r="I59" s="148"/>
      <c r="J59" s="148"/>
      <c r="K59" s="148"/>
    </row>
    <row r="60" spans="1:16" ht="12.75" customHeight="1" x14ac:dyDescent="0.25">
      <c r="A60" s="108"/>
      <c r="B60" s="136" t="s">
        <v>125</v>
      </c>
      <c r="C60" s="108"/>
      <c r="D60" s="108"/>
      <c r="E60" s="149">
        <f t="shared" ref="E60:K60" si="14">SUM(E61:E62)</f>
        <v>-138846</v>
      </c>
      <c r="F60" s="149">
        <f t="shared" si="14"/>
        <v>-203430</v>
      </c>
      <c r="G60" s="149">
        <f t="shared" si="14"/>
        <v>-128550</v>
      </c>
      <c r="H60" s="149">
        <f t="shared" si="14"/>
        <v>-73250</v>
      </c>
      <c r="I60" s="149">
        <f t="shared" si="14"/>
        <v>-95637</v>
      </c>
      <c r="J60" s="149">
        <f t="shared" si="14"/>
        <v>-52525</v>
      </c>
      <c r="K60" s="149">
        <f t="shared" si="14"/>
        <v>-63980</v>
      </c>
    </row>
    <row r="61" spans="1:16" ht="12.75" customHeight="1" x14ac:dyDescent="0.25">
      <c r="A61" s="108"/>
      <c r="B61" s="112" t="s">
        <v>126</v>
      </c>
      <c r="C61" s="108"/>
      <c r="D61" s="108"/>
      <c r="E61" s="138">
        <v>-204060</v>
      </c>
      <c r="F61" s="138">
        <v>-287298</v>
      </c>
      <c r="G61" s="138">
        <v>-235849</v>
      </c>
      <c r="H61" s="138">
        <v>-166581</v>
      </c>
      <c r="I61" s="138">
        <v>-166568</v>
      </c>
      <c r="J61" s="138">
        <v>-124937</v>
      </c>
      <c r="K61" s="138">
        <v>-134348</v>
      </c>
    </row>
    <row r="62" spans="1:16" ht="12.75" customHeight="1" x14ac:dyDescent="0.25">
      <c r="A62" s="108"/>
      <c r="B62" s="108" t="s">
        <v>127</v>
      </c>
      <c r="C62" s="108"/>
      <c r="D62" s="108"/>
      <c r="E62" s="138">
        <v>65214</v>
      </c>
      <c r="F62" s="138">
        <v>83868</v>
      </c>
      <c r="G62" s="138">
        <v>107299</v>
      </c>
      <c r="H62" s="138">
        <v>93331</v>
      </c>
      <c r="I62" s="138">
        <v>70931</v>
      </c>
      <c r="J62" s="138">
        <v>72412</v>
      </c>
      <c r="K62" s="138">
        <v>70368</v>
      </c>
    </row>
    <row r="63" spans="1:16" ht="12.75" customHeight="1" x14ac:dyDescent="0.25">
      <c r="A63" s="112"/>
      <c r="B63" s="112"/>
      <c r="C63" s="112"/>
      <c r="D63" s="112"/>
      <c r="E63" s="115"/>
      <c r="F63" s="115"/>
      <c r="G63" s="115"/>
      <c r="H63" s="115"/>
      <c r="I63" s="150"/>
      <c r="J63" s="150"/>
      <c r="K63" s="150"/>
    </row>
    <row r="64" spans="1:16" x14ac:dyDescent="0.25">
      <c r="A64" s="128"/>
      <c r="B64" s="139" t="s">
        <v>128</v>
      </c>
      <c r="C64" s="139"/>
      <c r="D64" s="139"/>
      <c r="E64" s="146">
        <f t="shared" ref="E64:K64" si="15">E25+E28+E36+E60+E44+E46+E48+E55</f>
        <v>-119474</v>
      </c>
      <c r="F64" s="146">
        <f t="shared" si="15"/>
        <v>-194223.80000000005</v>
      </c>
      <c r="G64" s="146">
        <f t="shared" si="15"/>
        <v>34727.199999999953</v>
      </c>
      <c r="H64" s="146">
        <f t="shared" si="15"/>
        <v>61485</v>
      </c>
      <c r="I64" s="146">
        <f t="shared" si="15"/>
        <v>168056</v>
      </c>
      <c r="J64" s="146">
        <f t="shared" si="15"/>
        <v>410142</v>
      </c>
      <c r="K64" s="146">
        <f t="shared" si="15"/>
        <v>468428</v>
      </c>
    </row>
    <row r="65" spans="1:11" x14ac:dyDescent="0.25">
      <c r="A65" s="112"/>
      <c r="B65" s="112"/>
      <c r="C65" s="112"/>
      <c r="D65" s="112"/>
      <c r="E65" s="115"/>
      <c r="F65" s="115"/>
      <c r="G65" s="115"/>
      <c r="H65" s="115"/>
      <c r="I65" s="115"/>
      <c r="J65" s="115"/>
      <c r="K65" s="115"/>
    </row>
    <row r="66" spans="1:11" x14ac:dyDescent="0.25">
      <c r="A66" s="112"/>
      <c r="B66" s="110" t="s">
        <v>129</v>
      </c>
      <c r="C66" s="112"/>
      <c r="D66" s="112"/>
      <c r="E66" s="151">
        <f t="shared" ref="E66:K66" si="16">SUM(E67:E67)</f>
        <v>20944</v>
      </c>
      <c r="F66" s="151">
        <f t="shared" si="16"/>
        <v>-134399</v>
      </c>
      <c r="G66" s="151">
        <f t="shared" si="16"/>
        <v>64787</v>
      </c>
      <c r="H66" s="151">
        <f t="shared" si="16"/>
        <v>189537</v>
      </c>
      <c r="I66" s="151">
        <f t="shared" si="16"/>
        <v>-58014</v>
      </c>
      <c r="J66" s="151">
        <f t="shared" si="16"/>
        <v>-135080</v>
      </c>
      <c r="K66" s="151">
        <f t="shared" si="16"/>
        <v>-132083</v>
      </c>
    </row>
    <row r="67" spans="1:11" ht="12.75" customHeight="1" x14ac:dyDescent="0.25">
      <c r="A67" s="112"/>
      <c r="B67" s="112" t="s">
        <v>130</v>
      </c>
      <c r="C67" s="112"/>
      <c r="D67" s="112"/>
      <c r="E67" s="113">
        <v>20944</v>
      </c>
      <c r="F67" s="113">
        <v>-134399</v>
      </c>
      <c r="G67" s="113">
        <v>64787</v>
      </c>
      <c r="H67" s="135">
        <f>225955-36418</f>
        <v>189537</v>
      </c>
      <c r="I67" s="135">
        <v>-58014</v>
      </c>
      <c r="J67" s="135">
        <v>-135080</v>
      </c>
      <c r="K67" s="135">
        <v>-132083</v>
      </c>
    </row>
    <row r="68" spans="1:11" x14ac:dyDescent="0.25">
      <c r="A68" s="118" t="s">
        <v>131</v>
      </c>
      <c r="B68" s="152"/>
      <c r="C68" s="152"/>
      <c r="D68" s="152"/>
      <c r="E68" s="119">
        <f t="shared" ref="E68:K68" si="17">E66+E64</f>
        <v>-98530</v>
      </c>
      <c r="F68" s="119">
        <f t="shared" si="17"/>
        <v>-328622.80000000005</v>
      </c>
      <c r="G68" s="119">
        <f t="shared" si="17"/>
        <v>99514.199999999953</v>
      </c>
      <c r="H68" s="119">
        <f t="shared" si="17"/>
        <v>251022</v>
      </c>
      <c r="I68" s="119">
        <f t="shared" si="17"/>
        <v>110042</v>
      </c>
      <c r="J68" s="119">
        <f t="shared" si="17"/>
        <v>275062</v>
      </c>
      <c r="K68" s="119">
        <f t="shared" si="17"/>
        <v>336345</v>
      </c>
    </row>
    <row r="69" spans="1:11" ht="14.25" x14ac:dyDescent="0.25">
      <c r="A69" s="102" t="s">
        <v>132</v>
      </c>
    </row>
    <row r="70" spans="1:11" ht="14.25" x14ac:dyDescent="0.25">
      <c r="A70" s="102"/>
    </row>
    <row r="71" spans="1:11" ht="14.25" x14ac:dyDescent="0.25">
      <c r="A71" s="121" t="s">
        <v>89</v>
      </c>
    </row>
    <row r="72" spans="1:11" ht="14.25" x14ac:dyDescent="0.25">
      <c r="A72" s="121" t="s">
        <v>90</v>
      </c>
      <c r="I72" s="142"/>
      <c r="J72" s="142"/>
    </row>
  </sheetData>
  <mergeCells count="11">
    <mergeCell ref="A12:D12"/>
    <mergeCell ref="A14:D14"/>
    <mergeCell ref="A15:D15"/>
    <mergeCell ref="A16:D16"/>
    <mergeCell ref="A17:D17"/>
    <mergeCell ref="A11:D11"/>
    <mergeCell ref="A4:D4"/>
    <mergeCell ref="A7:D7"/>
    <mergeCell ref="A8:D8"/>
    <mergeCell ref="A9:D9"/>
    <mergeCell ref="A10:D10"/>
  </mergeCells>
  <hyperlinks>
    <hyperlink ref="A72" r:id="rId1" xr:uid="{5F4CAFB4-C8E6-454E-9221-EEA3AFDCB35C}"/>
    <hyperlink ref="A71" r:id="rId2" xr:uid="{B90C7F76-A153-4DDE-8FFD-AFD2E3501542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A639-E726-41F6-81FA-319E218852DB}">
  <sheetPr codeName="Planilha14">
    <tabColor theme="9" tint="0.59999389629810485"/>
  </sheetPr>
  <dimension ref="A2:M40"/>
  <sheetViews>
    <sheetView workbookViewId="0">
      <selection activeCell="A2" sqref="A2:XFD2"/>
    </sheetView>
  </sheetViews>
  <sheetFormatPr defaultColWidth="10.28515625" defaultRowHeight="12.75" x14ac:dyDescent="0.25"/>
  <cols>
    <col min="1" max="3" width="1.7109375" style="1" customWidth="1"/>
    <col min="4" max="4" width="51.42578125" style="1" customWidth="1"/>
    <col min="5" max="5" width="11.42578125" style="1" hidden="1" customWidth="1"/>
    <col min="6" max="6" width="11.5703125" style="1" hidden="1" customWidth="1"/>
    <col min="7" max="9" width="10.5703125" style="1" bestFit="1" customWidth="1"/>
    <col min="10" max="11" width="10.5703125" style="1" customWidth="1"/>
    <col min="12" max="16384" width="10.28515625" style="1"/>
  </cols>
  <sheetData>
    <row r="2" spans="1:13" s="125" customFormat="1" ht="15" x14ac:dyDescent="0.25">
      <c r="A2" s="99" t="s">
        <v>133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3" s="127" customFormat="1" x14ac:dyDescent="0.2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3" s="127" customFormat="1" x14ac:dyDescent="0.25">
      <c r="A4" s="579" t="s">
        <v>35</v>
      </c>
      <c r="B4" s="579"/>
      <c r="C4" s="579"/>
      <c r="D4" s="579"/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</row>
    <row r="5" spans="1:13" s="116" customFormat="1" x14ac:dyDescent="0.25">
      <c r="A5" s="112"/>
      <c r="B5" s="112"/>
      <c r="C5" s="112"/>
      <c r="D5" s="112"/>
      <c r="E5" s="114"/>
      <c r="F5" s="114"/>
      <c r="G5" s="114"/>
      <c r="H5" s="114"/>
      <c r="I5" s="114"/>
      <c r="J5" s="114"/>
      <c r="K5" s="114"/>
    </row>
    <row r="6" spans="1:13" s="127" customFormat="1" x14ac:dyDescent="0.25">
      <c r="A6" s="128" t="s">
        <v>134</v>
      </c>
      <c r="B6" s="128"/>
      <c r="C6" s="128"/>
      <c r="D6" s="128"/>
      <c r="E6" s="129">
        <f t="shared" ref="E6:K6" si="0">E8+E12+E13</f>
        <v>462936</v>
      </c>
      <c r="F6" s="129">
        <f t="shared" si="0"/>
        <v>291444</v>
      </c>
      <c r="G6" s="129">
        <f t="shared" si="0"/>
        <v>459071</v>
      </c>
      <c r="H6" s="129">
        <f t="shared" si="0"/>
        <v>357113</v>
      </c>
      <c r="I6" s="129">
        <f t="shared" si="0"/>
        <v>274469</v>
      </c>
      <c r="J6" s="129">
        <f t="shared" si="0"/>
        <v>466247</v>
      </c>
      <c r="K6" s="129">
        <f t="shared" si="0"/>
        <v>386159</v>
      </c>
    </row>
    <row r="7" spans="1:13" s="116" customFormat="1" x14ac:dyDescent="0.25">
      <c r="A7" s="577"/>
      <c r="B7" s="577"/>
      <c r="C7" s="577"/>
      <c r="D7" s="577"/>
      <c r="E7" s="113"/>
      <c r="F7" s="113"/>
      <c r="G7" s="113"/>
      <c r="H7" s="113"/>
      <c r="I7" s="113"/>
      <c r="J7" s="113"/>
      <c r="K7" s="113"/>
    </row>
    <row r="8" spans="1:13" s="116" customFormat="1" x14ac:dyDescent="0.25">
      <c r="A8" s="580" t="s">
        <v>135</v>
      </c>
      <c r="B8" s="580"/>
      <c r="C8" s="580"/>
      <c r="D8" s="580"/>
      <c r="E8" s="153">
        <f t="shared" ref="E8:K8" si="1">SUM(E9:E10)</f>
        <v>346609</v>
      </c>
      <c r="F8" s="153">
        <f t="shared" si="1"/>
        <v>187821</v>
      </c>
      <c r="G8" s="153">
        <f t="shared" si="1"/>
        <v>522180</v>
      </c>
      <c r="H8" s="153">
        <f t="shared" si="1"/>
        <v>576399</v>
      </c>
      <c r="I8" s="153">
        <f t="shared" si="1"/>
        <v>603555</v>
      </c>
      <c r="J8" s="153">
        <f t="shared" si="1"/>
        <v>663392</v>
      </c>
      <c r="K8" s="153">
        <f t="shared" si="1"/>
        <v>761845</v>
      </c>
    </row>
    <row r="9" spans="1:13" s="132" customFormat="1" x14ac:dyDescent="0.25">
      <c r="A9" s="112"/>
      <c r="B9" s="112" t="s">
        <v>136</v>
      </c>
      <c r="C9" s="112"/>
      <c r="D9" s="112"/>
      <c r="E9" s="113">
        <v>-98530</v>
      </c>
      <c r="F9" s="113">
        <v>-328623</v>
      </c>
      <c r="G9" s="113">
        <v>99514</v>
      </c>
      <c r="H9" s="113">
        <v>251022</v>
      </c>
      <c r="I9" s="113">
        <v>110042</v>
      </c>
      <c r="J9" s="113">
        <v>275062</v>
      </c>
      <c r="K9" s="113">
        <v>336346</v>
      </c>
      <c r="L9" s="154"/>
      <c r="M9" s="154"/>
    </row>
    <row r="10" spans="1:13" s="116" customFormat="1" x14ac:dyDescent="0.25">
      <c r="A10" s="112"/>
      <c r="B10" s="112" t="s">
        <v>137</v>
      </c>
      <c r="C10" s="112"/>
      <c r="D10" s="112"/>
      <c r="E10" s="113">
        <v>445139</v>
      </c>
      <c r="F10" s="113">
        <v>516444</v>
      </c>
      <c r="G10" s="113">
        <v>422666</v>
      </c>
      <c r="H10" s="113">
        <v>325377</v>
      </c>
      <c r="I10" s="113">
        <v>493513</v>
      </c>
      <c r="J10" s="113">
        <v>388330</v>
      </c>
      <c r="K10" s="113">
        <v>425499</v>
      </c>
      <c r="L10" s="155"/>
    </row>
    <row r="11" spans="1:13" s="116" customFormat="1" x14ac:dyDescent="0.25">
      <c r="A11" s="140"/>
      <c r="B11" s="140"/>
      <c r="C11" s="140"/>
      <c r="D11" s="140"/>
      <c r="E11" s="113"/>
      <c r="F11" s="113"/>
      <c r="G11" s="113"/>
      <c r="H11" s="113"/>
      <c r="I11" s="113"/>
      <c r="J11" s="113"/>
      <c r="K11" s="113"/>
      <c r="L11" s="155"/>
    </row>
    <row r="12" spans="1:13" s="116" customFormat="1" x14ac:dyDescent="0.25">
      <c r="A12" s="112"/>
      <c r="B12" s="112" t="s">
        <v>138</v>
      </c>
      <c r="C12" s="112"/>
      <c r="D12" s="112"/>
      <c r="E12" s="113">
        <v>125865</v>
      </c>
      <c r="F12" s="113">
        <v>108370</v>
      </c>
      <c r="G12" s="113">
        <v>-61224</v>
      </c>
      <c r="H12" s="113">
        <v>-247574</v>
      </c>
      <c r="I12" s="113">
        <v>-357282</v>
      </c>
      <c r="J12" s="113">
        <v>-176976</v>
      </c>
      <c r="K12" s="113">
        <v>-379228</v>
      </c>
      <c r="L12" s="155"/>
      <c r="M12" s="155"/>
    </row>
    <row r="13" spans="1:13" s="116" customFormat="1" x14ac:dyDescent="0.25">
      <c r="A13" s="112"/>
      <c r="B13" s="112" t="s">
        <v>139</v>
      </c>
      <c r="C13" s="112"/>
      <c r="D13" s="112"/>
      <c r="E13" s="113">
        <v>-9538</v>
      </c>
      <c r="F13" s="113">
        <v>-4747</v>
      </c>
      <c r="G13" s="113">
        <v>-1885</v>
      </c>
      <c r="H13" s="113">
        <v>28288</v>
      </c>
      <c r="I13" s="113">
        <v>28196</v>
      </c>
      <c r="J13" s="113">
        <v>-20169</v>
      </c>
      <c r="K13" s="113">
        <v>3542</v>
      </c>
      <c r="L13" s="155"/>
    </row>
    <row r="14" spans="1:13" s="116" customFormat="1" x14ac:dyDescent="0.25">
      <c r="A14" s="112"/>
      <c r="B14" s="112"/>
      <c r="C14" s="112"/>
      <c r="D14" s="112"/>
      <c r="E14" s="114"/>
      <c r="F14" s="114"/>
      <c r="G14" s="114"/>
      <c r="H14" s="114"/>
      <c r="I14" s="114"/>
      <c r="J14" s="114"/>
      <c r="K14" s="114"/>
    </row>
    <row r="15" spans="1:13" s="116" customFormat="1" x14ac:dyDescent="0.25">
      <c r="A15" s="578" t="s">
        <v>140</v>
      </c>
      <c r="B15" s="578"/>
      <c r="C15" s="578"/>
      <c r="D15" s="578"/>
      <c r="E15" s="129">
        <f t="shared" ref="E15:K15" si="2">SUM(E16:E19)</f>
        <v>-579965</v>
      </c>
      <c r="F15" s="129">
        <f t="shared" si="2"/>
        <v>-332192</v>
      </c>
      <c r="G15" s="129">
        <f t="shared" si="2"/>
        <v>-258140</v>
      </c>
      <c r="H15" s="129">
        <f t="shared" si="2"/>
        <v>-115506</v>
      </c>
      <c r="I15" s="129">
        <f t="shared" si="2"/>
        <v>-268309</v>
      </c>
      <c r="J15" s="129">
        <f t="shared" si="2"/>
        <v>-188098</v>
      </c>
      <c r="K15" s="129">
        <f t="shared" si="2"/>
        <v>-249154</v>
      </c>
    </row>
    <row r="16" spans="1:13" x14ac:dyDescent="0.25">
      <c r="A16" s="108"/>
      <c r="B16" s="108" t="s">
        <v>141</v>
      </c>
      <c r="C16" s="108"/>
      <c r="D16" s="108"/>
      <c r="E16" s="113">
        <v>-22003</v>
      </c>
      <c r="F16" s="113">
        <v>-9935</v>
      </c>
      <c r="G16" s="113">
        <v>-7089</v>
      </c>
      <c r="H16" s="113">
        <v>-9804</v>
      </c>
      <c r="I16" s="113">
        <v>-61388</v>
      </c>
      <c r="J16" s="113">
        <v>-44389</v>
      </c>
      <c r="K16" s="113">
        <v>-16645</v>
      </c>
    </row>
    <row r="17" spans="1:11" x14ac:dyDescent="0.25">
      <c r="A17" s="108"/>
      <c r="B17" s="108" t="s">
        <v>57</v>
      </c>
      <c r="C17" s="108"/>
      <c r="D17" s="108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-81870</v>
      </c>
      <c r="K17" s="113">
        <v>-123342</v>
      </c>
    </row>
    <row r="18" spans="1:11" x14ac:dyDescent="0.25">
      <c r="A18" s="108"/>
      <c r="B18" s="108" t="s">
        <v>142</v>
      </c>
      <c r="C18" s="108"/>
      <c r="D18" s="108"/>
      <c r="E18" s="113">
        <v>-539454</v>
      </c>
      <c r="F18" s="113">
        <v>-306180</v>
      </c>
      <c r="G18" s="113">
        <v>-282255</v>
      </c>
      <c r="H18" s="113">
        <v>-109348</v>
      </c>
      <c r="I18" s="113">
        <v>-209460</v>
      </c>
      <c r="J18" s="113">
        <v>-61839</v>
      </c>
      <c r="K18" s="113">
        <v>-119226</v>
      </c>
    </row>
    <row r="19" spans="1:11" x14ac:dyDescent="0.25">
      <c r="A19" s="108"/>
      <c r="B19" s="108" t="s">
        <v>143</v>
      </c>
      <c r="C19" s="108"/>
      <c r="D19" s="108"/>
      <c r="E19" s="113">
        <v>-18508</v>
      </c>
      <c r="F19" s="113">
        <v>-16077</v>
      </c>
      <c r="G19" s="113">
        <v>31204</v>
      </c>
      <c r="H19" s="113">
        <v>3646</v>
      </c>
      <c r="I19" s="113">
        <v>2539</v>
      </c>
      <c r="J19" s="113">
        <v>0</v>
      </c>
      <c r="K19" s="113">
        <v>10059</v>
      </c>
    </row>
    <row r="20" spans="1:11" x14ac:dyDescent="0.25">
      <c r="A20" s="108"/>
      <c r="B20" s="108"/>
      <c r="C20" s="108"/>
      <c r="D20" s="108"/>
      <c r="E20" s="138"/>
      <c r="F20" s="138"/>
      <c r="G20" s="138"/>
      <c r="H20" s="138"/>
      <c r="I20" s="138"/>
      <c r="J20" s="138"/>
      <c r="K20" s="138"/>
    </row>
    <row r="21" spans="1:11" s="116" customFormat="1" x14ac:dyDescent="0.25">
      <c r="A21" s="128" t="s">
        <v>144</v>
      </c>
      <c r="B21" s="139"/>
      <c r="C21" s="139"/>
      <c r="D21" s="139"/>
      <c r="E21" s="129">
        <f t="shared" ref="E21:K21" si="3">SUM(E22:E31)</f>
        <v>71508</v>
      </c>
      <c r="F21" s="129">
        <f t="shared" si="3"/>
        <v>61441</v>
      </c>
      <c r="G21" s="129">
        <f t="shared" si="3"/>
        <v>-210523</v>
      </c>
      <c r="H21" s="129">
        <f t="shared" si="3"/>
        <v>-200056</v>
      </c>
      <c r="I21" s="129">
        <f t="shared" si="3"/>
        <v>-40751</v>
      </c>
      <c r="J21" s="129">
        <f t="shared" si="3"/>
        <v>-152539</v>
      </c>
      <c r="K21" s="129">
        <f t="shared" si="3"/>
        <v>-138468</v>
      </c>
    </row>
    <row r="22" spans="1:11" x14ac:dyDescent="0.25">
      <c r="A22" s="108"/>
      <c r="B22" s="108" t="s">
        <v>145</v>
      </c>
      <c r="C22" s="108"/>
      <c r="D22" s="108"/>
      <c r="E22" s="138">
        <v>233986</v>
      </c>
      <c r="F22" s="138">
        <v>35784</v>
      </c>
      <c r="G22" s="138">
        <v>-4188</v>
      </c>
      <c r="H22" s="138">
        <v>65037</v>
      </c>
      <c r="I22" s="138">
        <v>0</v>
      </c>
      <c r="J22" s="138">
        <v>0</v>
      </c>
      <c r="K22" s="138"/>
    </row>
    <row r="23" spans="1:11" x14ac:dyDescent="0.25">
      <c r="A23" s="108"/>
      <c r="B23" s="108" t="s">
        <v>146</v>
      </c>
      <c r="C23" s="108"/>
      <c r="D23" s="108"/>
      <c r="E23" s="138">
        <v>296699</v>
      </c>
      <c r="F23" s="138">
        <v>1123071</v>
      </c>
      <c r="G23" s="138">
        <v>230926</v>
      </c>
      <c r="H23" s="138">
        <v>259310</v>
      </c>
      <c r="I23" s="138">
        <v>365314</v>
      </c>
      <c r="J23" s="138">
        <v>243920</v>
      </c>
      <c r="K23" s="138">
        <v>370168</v>
      </c>
    </row>
    <row r="24" spans="1:11" x14ac:dyDescent="0.25">
      <c r="A24" s="108"/>
      <c r="B24" s="108" t="s">
        <v>147</v>
      </c>
      <c r="C24" s="108"/>
      <c r="D24" s="108"/>
      <c r="E24" s="138">
        <v>-360464</v>
      </c>
      <c r="F24" s="138">
        <v>-971761</v>
      </c>
      <c r="G24" s="138">
        <v>-253989</v>
      </c>
      <c r="H24" s="138">
        <v>-347244</v>
      </c>
      <c r="I24" s="138">
        <v>-354293</v>
      </c>
      <c r="J24" s="138">
        <v>-272594</v>
      </c>
      <c r="K24" s="138">
        <v>-382501</v>
      </c>
    </row>
    <row r="25" spans="1:11" x14ac:dyDescent="0.25">
      <c r="A25" s="108"/>
      <c r="B25" s="108" t="s">
        <v>148</v>
      </c>
      <c r="C25" s="108"/>
      <c r="D25" s="108"/>
      <c r="E25" s="138">
        <v>-126099</v>
      </c>
      <c r="F25" s="138">
        <v>-191812</v>
      </c>
      <c r="G25" s="138">
        <v>-209275</v>
      </c>
      <c r="H25" s="138">
        <v>-153827</v>
      </c>
      <c r="I25" s="138">
        <v>-98118</v>
      </c>
      <c r="J25" s="138">
        <v>-99517</v>
      </c>
      <c r="K25" s="138">
        <v>-77212</v>
      </c>
    </row>
    <row r="26" spans="1:11" x14ac:dyDescent="0.25">
      <c r="A26" s="108"/>
      <c r="B26" s="108" t="s">
        <v>149</v>
      </c>
      <c r="C26" s="108"/>
      <c r="D26" s="108"/>
      <c r="E26" s="138">
        <v>-12395</v>
      </c>
      <c r="F26" s="138">
        <v>-34658</v>
      </c>
      <c r="G26" s="138">
        <v>0</v>
      </c>
      <c r="H26" s="138">
        <v>-28999</v>
      </c>
      <c r="I26" s="138">
        <v>0</v>
      </c>
      <c r="J26" s="138">
        <v>0</v>
      </c>
      <c r="K26" s="138"/>
    </row>
    <row r="27" spans="1:11" x14ac:dyDescent="0.25">
      <c r="A27" s="108"/>
      <c r="B27" s="108" t="s">
        <v>150</v>
      </c>
      <c r="C27" s="108"/>
      <c r="D27" s="108"/>
      <c r="E27" s="138">
        <v>0</v>
      </c>
      <c r="F27" s="138">
        <v>73400</v>
      </c>
      <c r="G27" s="138">
        <v>0</v>
      </c>
      <c r="H27" s="138">
        <v>0</v>
      </c>
      <c r="I27" s="138">
        <v>0</v>
      </c>
      <c r="J27" s="138">
        <v>0</v>
      </c>
      <c r="K27" s="138"/>
    </row>
    <row r="28" spans="1:11" x14ac:dyDescent="0.25">
      <c r="A28" s="108"/>
      <c r="B28" s="108" t="s">
        <v>61</v>
      </c>
      <c r="C28" s="108"/>
      <c r="D28" s="108"/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-12096</v>
      </c>
      <c r="K28" s="138">
        <v>-16031</v>
      </c>
    </row>
    <row r="29" spans="1:11" x14ac:dyDescent="0.25">
      <c r="A29" s="108"/>
      <c r="B29" s="108" t="s">
        <v>151</v>
      </c>
      <c r="C29" s="108"/>
      <c r="D29" s="108"/>
      <c r="E29" s="138">
        <v>-216</v>
      </c>
      <c r="F29" s="138">
        <v>0</v>
      </c>
      <c r="G29" s="138">
        <v>0</v>
      </c>
      <c r="H29" s="138">
        <v>0</v>
      </c>
      <c r="I29" s="138">
        <v>0</v>
      </c>
      <c r="J29" s="138">
        <v>-28792</v>
      </c>
      <c r="K29" s="138">
        <v>-74992</v>
      </c>
    </row>
    <row r="30" spans="1:11" x14ac:dyDescent="0.25">
      <c r="A30" s="108"/>
      <c r="B30" s="108" t="s">
        <v>152</v>
      </c>
      <c r="C30" s="108"/>
      <c r="D30" s="108"/>
      <c r="E30" s="138">
        <v>40462</v>
      </c>
      <c r="F30" s="138">
        <v>32640</v>
      </c>
      <c r="G30" s="138">
        <v>27903</v>
      </c>
      <c r="H30" s="138">
        <v>12723</v>
      </c>
      <c r="I30" s="138">
        <v>46723</v>
      </c>
      <c r="J30" s="138">
        <v>16654</v>
      </c>
      <c r="K30" s="138">
        <v>42100</v>
      </c>
    </row>
    <row r="31" spans="1:11" x14ac:dyDescent="0.25">
      <c r="A31" s="108"/>
      <c r="B31" s="108" t="s">
        <v>153</v>
      </c>
      <c r="C31" s="108"/>
      <c r="D31" s="108"/>
      <c r="E31" s="138">
        <v>-465</v>
      </c>
      <c r="F31" s="138">
        <v>-5223</v>
      </c>
      <c r="G31" s="138">
        <v>-1900</v>
      </c>
      <c r="H31" s="138">
        <v>-7056</v>
      </c>
      <c r="I31" s="138">
        <v>-377</v>
      </c>
      <c r="J31" s="138">
        <v>-114</v>
      </c>
      <c r="K31" s="138">
        <v>0</v>
      </c>
    </row>
    <row r="32" spans="1:11" x14ac:dyDescent="0.25">
      <c r="A32" s="112"/>
      <c r="B32" s="112"/>
      <c r="C32" s="112"/>
      <c r="D32" s="112"/>
      <c r="E32" s="114"/>
      <c r="F32" s="114"/>
      <c r="G32" s="114"/>
      <c r="H32" s="114"/>
      <c r="I32" s="115"/>
      <c r="J32" s="114"/>
      <c r="K32" s="114"/>
    </row>
    <row r="33" spans="1:11" x14ac:dyDescent="0.25">
      <c r="A33" s="128" t="s">
        <v>154</v>
      </c>
      <c r="B33" s="139"/>
      <c r="C33" s="139"/>
      <c r="D33" s="139"/>
      <c r="E33" s="146">
        <f t="shared" ref="E33:K33" si="4">E6+E15+E21</f>
        <v>-45521</v>
      </c>
      <c r="F33" s="146">
        <f t="shared" si="4"/>
        <v>20693</v>
      </c>
      <c r="G33" s="146">
        <f t="shared" si="4"/>
        <v>-9592</v>
      </c>
      <c r="H33" s="146">
        <f t="shared" si="4"/>
        <v>41551</v>
      </c>
      <c r="I33" s="146">
        <f t="shared" si="4"/>
        <v>-34591</v>
      </c>
      <c r="J33" s="146">
        <f t="shared" si="4"/>
        <v>125610</v>
      </c>
      <c r="K33" s="146">
        <f t="shared" si="4"/>
        <v>-1463</v>
      </c>
    </row>
    <row r="34" spans="1:11" x14ac:dyDescent="0.25">
      <c r="A34" s="112" t="s">
        <v>155</v>
      </c>
      <c r="B34" s="112"/>
      <c r="C34" s="112"/>
      <c r="D34" s="112"/>
      <c r="E34" s="138">
        <v>71457</v>
      </c>
      <c r="F34" s="138">
        <v>25936</v>
      </c>
      <c r="G34" s="138">
        <f>F35</f>
        <v>46629</v>
      </c>
      <c r="H34" s="138">
        <f>G35</f>
        <v>37037</v>
      </c>
      <c r="I34" s="138">
        <f>H35</f>
        <v>78588</v>
      </c>
      <c r="J34" s="138">
        <f>I35</f>
        <v>43997</v>
      </c>
      <c r="K34" s="138">
        <f>J35</f>
        <v>169607</v>
      </c>
    </row>
    <row r="35" spans="1:11" x14ac:dyDescent="0.25">
      <c r="A35" s="112" t="s">
        <v>156</v>
      </c>
      <c r="B35" s="112"/>
      <c r="C35" s="112"/>
      <c r="D35" s="112"/>
      <c r="E35" s="138">
        <f t="shared" ref="E35:K35" si="5">E33+E34</f>
        <v>25936</v>
      </c>
      <c r="F35" s="138">
        <f t="shared" si="5"/>
        <v>46629</v>
      </c>
      <c r="G35" s="138">
        <f t="shared" si="5"/>
        <v>37037</v>
      </c>
      <c r="H35" s="138">
        <f t="shared" si="5"/>
        <v>78588</v>
      </c>
      <c r="I35" s="138">
        <f t="shared" si="5"/>
        <v>43997</v>
      </c>
      <c r="J35" s="138">
        <f t="shared" si="5"/>
        <v>169607</v>
      </c>
      <c r="K35" s="138">
        <f t="shared" si="5"/>
        <v>168144</v>
      </c>
    </row>
    <row r="37" spans="1:11" ht="14.25" x14ac:dyDescent="0.25">
      <c r="A37" s="102" t="s">
        <v>88</v>
      </c>
    </row>
    <row r="38" spans="1:11" ht="14.25" x14ac:dyDescent="0.25">
      <c r="A38" s="102"/>
    </row>
    <row r="39" spans="1:11" ht="14.25" x14ac:dyDescent="0.25">
      <c r="A39" s="121" t="s">
        <v>89</v>
      </c>
    </row>
    <row r="40" spans="1:11" ht="14.25" x14ac:dyDescent="0.25">
      <c r="A40" s="121" t="s">
        <v>90</v>
      </c>
    </row>
  </sheetData>
  <mergeCells count="4">
    <mergeCell ref="A4:D4"/>
    <mergeCell ref="A7:D7"/>
    <mergeCell ref="A8:D8"/>
    <mergeCell ref="A15:D15"/>
  </mergeCells>
  <hyperlinks>
    <hyperlink ref="A40" r:id="rId1" xr:uid="{B1A8269B-EB37-4CD7-8FFA-334E9E74C921}"/>
    <hyperlink ref="A39" r:id="rId2" xr:uid="{14A80F95-283B-4A54-8A95-936FBFAC8F4A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87D6-3027-40E3-A025-4728437955FC}">
  <sheetPr codeName="Planilha15">
    <tabColor theme="9" tint="0.59999389629810485"/>
  </sheetPr>
  <dimension ref="A2:K10"/>
  <sheetViews>
    <sheetView workbookViewId="0">
      <selection activeCell="B4" sqref="B4:H9"/>
    </sheetView>
  </sheetViews>
  <sheetFormatPr defaultColWidth="9.28515625" defaultRowHeight="16.5" x14ac:dyDescent="0.3"/>
  <cols>
    <col min="1" max="1" width="8.85546875" style="212" customWidth="1"/>
    <col min="2" max="2" width="37.5703125" style="212" customWidth="1"/>
    <col min="3" max="3" width="15.5703125" style="490" customWidth="1"/>
    <col min="4" max="6" width="14.42578125" style="212" customWidth="1"/>
    <col min="7" max="8" width="15.28515625" style="212" customWidth="1"/>
    <col min="9" max="9" width="9.7109375" style="212" customWidth="1"/>
    <col min="10" max="10" width="14.42578125" style="212" customWidth="1"/>
    <col min="11" max="11" width="18.42578125" style="212" customWidth="1"/>
    <col min="12" max="13" width="10.28515625" style="212" bestFit="1" customWidth="1"/>
    <col min="14" max="14" width="13.28515625" style="212" bestFit="1" customWidth="1"/>
    <col min="15" max="15" width="12" style="212" bestFit="1" customWidth="1"/>
    <col min="16" max="16" width="11.28515625" style="212" bestFit="1" customWidth="1"/>
    <col min="17" max="17" width="17.7109375" style="212" bestFit="1" customWidth="1"/>
    <col min="18" max="18" width="12.7109375" style="212" bestFit="1" customWidth="1"/>
    <col min="19" max="19" width="16.42578125" style="212" bestFit="1" customWidth="1"/>
    <col min="20" max="25" width="12" style="212" bestFit="1" customWidth="1"/>
    <col min="26" max="26" width="9.28515625" style="212"/>
    <col min="27" max="27" width="7.5703125" style="212" bestFit="1" customWidth="1"/>
    <col min="28" max="28" width="9" style="212" bestFit="1" customWidth="1"/>
    <col min="29" max="16384" width="9.28515625" style="212"/>
  </cols>
  <sheetData>
    <row r="2" spans="1:11" ht="18.75" x14ac:dyDescent="0.3">
      <c r="A2" s="510"/>
      <c r="B2" s="512" t="s">
        <v>666</v>
      </c>
      <c r="C2" s="511"/>
      <c r="D2" s="510"/>
      <c r="E2" s="510"/>
      <c r="F2" s="510"/>
      <c r="G2" s="510"/>
      <c r="H2" s="510"/>
    </row>
    <row r="4" spans="1:11" x14ac:dyDescent="0.3">
      <c r="B4" s="509"/>
      <c r="C4" s="509"/>
      <c r="D4" s="509">
        <v>2016</v>
      </c>
      <c r="E4" s="509">
        <v>2017</v>
      </c>
      <c r="F4" s="509">
        <v>2018</v>
      </c>
      <c r="G4" s="509">
        <v>2019</v>
      </c>
      <c r="H4" s="509">
        <v>2020</v>
      </c>
    </row>
    <row r="5" spans="1:11" x14ac:dyDescent="0.3">
      <c r="B5" s="583" t="s">
        <v>667</v>
      </c>
      <c r="C5" s="584"/>
      <c r="D5" s="373">
        <f>'DE4 - DRE - Histórico'!G6</f>
        <v>1988993</v>
      </c>
      <c r="E5" s="373">
        <f>'DE4 - DRE - Histórico'!H6</f>
        <v>2150981.7999999998</v>
      </c>
      <c r="F5" s="373">
        <f>'DE4 - DRE - Histórico'!I6</f>
        <v>2244708</v>
      </c>
      <c r="G5" s="373">
        <f>'DE4 - DRE - Histórico'!J6</f>
        <v>2466101</v>
      </c>
      <c r="H5" s="373">
        <f>'DE4 - DRE - Histórico'!K6</f>
        <v>2605274</v>
      </c>
    </row>
    <row r="6" spans="1:11" x14ac:dyDescent="0.3">
      <c r="B6" s="583" t="s">
        <v>668</v>
      </c>
      <c r="C6" s="584"/>
      <c r="D6" s="373">
        <f>-'DE4 - DRE - Histórico'!G11</f>
        <v>156271</v>
      </c>
      <c r="E6" s="373">
        <f>-'DE4 - DRE - Histórico'!H11</f>
        <v>166544</v>
      </c>
      <c r="F6" s="373">
        <f>-'DE4 - DRE - Histórico'!I11</f>
        <v>175654</v>
      </c>
      <c r="G6" s="373">
        <f>-'DE4 - DRE - Histórico'!J11</f>
        <v>230786</v>
      </c>
      <c r="H6" s="373">
        <f>-'DE4 - DRE - Histórico'!K11</f>
        <v>244374</v>
      </c>
    </row>
    <row r="7" spans="1:11" hidden="1" x14ac:dyDescent="0.3"/>
    <row r="8" spans="1:11" x14ac:dyDescent="0.3">
      <c r="B8" s="581" t="s">
        <v>656</v>
      </c>
      <c r="C8" s="489" t="s">
        <v>714</v>
      </c>
      <c r="D8" s="374">
        <f>(D6)/(D5)</f>
        <v>7.8567898429004024E-2</v>
      </c>
      <c r="E8" s="374">
        <f>(E6)/(E5)</f>
        <v>7.74269684662139E-2</v>
      </c>
      <c r="F8" s="374">
        <f>(F6)/(F5)</f>
        <v>7.8252494311064069E-2</v>
      </c>
      <c r="G8" s="374">
        <f>(G6)/(G5)</f>
        <v>9.3583352831047878E-2</v>
      </c>
      <c r="H8" s="374">
        <f>(H6)/(H5)</f>
        <v>9.3799730853645333E-2</v>
      </c>
      <c r="K8" s="386">
        <f>SUM(D5:H5)</f>
        <v>11456057.800000001</v>
      </c>
    </row>
    <row r="9" spans="1:11" x14ac:dyDescent="0.3">
      <c r="B9" s="581"/>
      <c r="C9" s="489" t="s">
        <v>715</v>
      </c>
      <c r="D9" s="582">
        <f>SUM(D6:H6)/SUM(D5:H5)</f>
        <v>8.4988136145751639E-2</v>
      </c>
      <c r="E9" s="582"/>
      <c r="F9" s="582"/>
      <c r="G9" s="582"/>
      <c r="H9" s="582"/>
      <c r="I9" s="362"/>
      <c r="K9" s="386">
        <f>SUM(D6:H6)</f>
        <v>973629</v>
      </c>
    </row>
    <row r="10" spans="1:11" x14ac:dyDescent="0.3">
      <c r="B10" s="375"/>
      <c r="C10" s="491"/>
    </row>
  </sheetData>
  <mergeCells count="4">
    <mergeCell ref="B8:B9"/>
    <mergeCell ref="D9:H9"/>
    <mergeCell ref="B5:C5"/>
    <mergeCell ref="B6:C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RESULTADO</vt:lpstr>
      <vt:lpstr>RESULTADO Após IPCA</vt:lpstr>
      <vt:lpstr>Fator X</vt:lpstr>
      <vt:lpstr>DE1 - Dados Oper. - Histórico</vt:lpstr>
      <vt:lpstr>DE2 - Nº Funcionários-Histórico</vt:lpstr>
      <vt:lpstr>DE3 - BP - Histórico</vt:lpstr>
      <vt:lpstr>DE4 - DRE - Histórico</vt:lpstr>
      <vt:lpstr>DE5 - DFC - Histórico</vt:lpstr>
      <vt:lpstr>DE6 - Deduções Receita Bruta</vt:lpstr>
      <vt:lpstr>DE7 - CAPEX</vt:lpstr>
      <vt:lpstr>DE8 - Outras Receitas</vt:lpstr>
      <vt:lpstr>DE9 - Tarifa Básica (CMF)</vt:lpstr>
      <vt:lpstr>IN - Indicadores</vt:lpstr>
      <vt:lpstr>P1 - Projeções Dados Oper.</vt:lpstr>
      <vt:lpstr>P2 - Projeção OPEX</vt:lpstr>
      <vt:lpstr>P3 - WK - Capital de Giro</vt:lpstr>
      <vt:lpstr>P4 - Receitas Irrecuperáveis</vt:lpstr>
      <vt:lpstr>BAR0</vt:lpstr>
      <vt:lpstr>BARt</vt:lpstr>
      <vt:lpstr>Depreciação</vt:lpstr>
      <vt:lpstr>Fator X (componente T)</vt:lpstr>
      <vt:lpstr>WACC</vt:lpstr>
      <vt:lpstr>Comparativo OPEX Projetada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Henrique da Cunha</dc:creator>
  <cp:lastModifiedBy>Karla Kristina Silva Cavalcante</cp:lastModifiedBy>
  <cp:lastPrinted>2021-10-22T13:27:44Z</cp:lastPrinted>
  <dcterms:created xsi:type="dcterms:W3CDTF">2021-09-02T12:04:05Z</dcterms:created>
  <dcterms:modified xsi:type="dcterms:W3CDTF">2022-03-31T13:17:44Z</dcterms:modified>
</cp:coreProperties>
</file>